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\DG-I-100\"/>
    </mc:Choice>
  </mc:AlternateContent>
  <xr:revisionPtr revIDLastSave="0" documentId="13_ncr:1_{15CA3DC6-83F6-4A82-8086-4570B83387D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ummary of Reagent cost" sheetId="7" r:id="rId1"/>
    <sheet name="Breakup of Fuel cost" sheetId="8" r:id="rId2"/>
    <sheet name="24-25" sheetId="6" r:id="rId3"/>
    <sheet name="25-26" sheetId="1" r:id="rId4"/>
    <sheet name="26-27" sheetId="2" r:id="rId5"/>
    <sheet name="27-28" sheetId="3" r:id="rId6"/>
    <sheet name="28-29" sheetId="4" r:id="rId7"/>
    <sheet name="29-30" sheetId="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8" l="1"/>
  <c r="Z16" i="8"/>
  <c r="AF16" i="8" s="1"/>
  <c r="Y16" i="8"/>
  <c r="X16" i="8"/>
  <c r="W16" i="8"/>
  <c r="AA15" i="8"/>
  <c r="Z15" i="8"/>
  <c r="Y15" i="8"/>
  <c r="X15" i="8"/>
  <c r="W15" i="8"/>
  <c r="AC15" i="8" s="1"/>
  <c r="AA14" i="8"/>
  <c r="Z14" i="8"/>
  <c r="Y14" i="8"/>
  <c r="X14" i="8"/>
  <c r="W14" i="8"/>
  <c r="AA13" i="8"/>
  <c r="Z13" i="8"/>
  <c r="Y13" i="8"/>
  <c r="X13" i="8"/>
  <c r="AD13" i="8" s="1"/>
  <c r="W13" i="8"/>
  <c r="AC13" i="8" s="1"/>
  <c r="AA12" i="8"/>
  <c r="Z12" i="8"/>
  <c r="Y12" i="8"/>
  <c r="X12" i="8"/>
  <c r="AD12" i="8" s="1"/>
  <c r="W12" i="8"/>
  <c r="AC12" i="8" s="1"/>
  <c r="AA11" i="8"/>
  <c r="Z11" i="8"/>
  <c r="Y11" i="8"/>
  <c r="X11" i="8"/>
  <c r="W11" i="8"/>
  <c r="AA10" i="8"/>
  <c r="Z10" i="8"/>
  <c r="Y10" i="8"/>
  <c r="AE10" i="8" s="1"/>
  <c r="X10" i="8"/>
  <c r="W10" i="8"/>
  <c r="AA9" i="8"/>
  <c r="Z9" i="8"/>
  <c r="Y9" i="8"/>
  <c r="AE9" i="8" s="1"/>
  <c r="X9" i="8"/>
  <c r="W9" i="8"/>
  <c r="AA8" i="8"/>
  <c r="AG8" i="8" s="1"/>
  <c r="Z8" i="8"/>
  <c r="Y8" i="8"/>
  <c r="X8" i="8"/>
  <c r="W8" i="8"/>
  <c r="AA7" i="8"/>
  <c r="Z7" i="8"/>
  <c r="Y7" i="8"/>
  <c r="X7" i="8"/>
  <c r="W7" i="8"/>
  <c r="AC7" i="8" s="1"/>
  <c r="AA6" i="8"/>
  <c r="Z6" i="8"/>
  <c r="Y6" i="8"/>
  <c r="X6" i="8"/>
  <c r="W6" i="8"/>
  <c r="AA5" i="8"/>
  <c r="Z5" i="8"/>
  <c r="Y5" i="8"/>
  <c r="X5" i="8"/>
  <c r="W5" i="8"/>
  <c r="AC5" i="8" s="1"/>
  <c r="AC16" i="8"/>
  <c r="AG15" i="8"/>
  <c r="AF15" i="8"/>
  <c r="AE14" i="8"/>
  <c r="AD14" i="8"/>
  <c r="AC14" i="8"/>
  <c r="AG12" i="8"/>
  <c r="AF12" i="8"/>
  <c r="AE12" i="8"/>
  <c r="AD11" i="8"/>
  <c r="AC11" i="8"/>
  <c r="AG10" i="8"/>
  <c r="AF9" i="8"/>
  <c r="AD9" i="8"/>
  <c r="AC8" i="8"/>
  <c r="AG7" i="8"/>
  <c r="AF7" i="8"/>
  <c r="AD6" i="8"/>
  <c r="AC6" i="8"/>
  <c r="AG5" i="8"/>
  <c r="AA4" i="8"/>
  <c r="Z4" i="8"/>
  <c r="Y4" i="8"/>
  <c r="X4" i="8"/>
  <c r="W4" i="8"/>
  <c r="AD5" i="8"/>
  <c r="AE5" i="8"/>
  <c r="AF5" i="8"/>
  <c r="AF6" i="8"/>
  <c r="AG6" i="8"/>
  <c r="AD7" i="8"/>
  <c r="AE7" i="8"/>
  <c r="AD8" i="8"/>
  <c r="AE8" i="8"/>
  <c r="AF8" i="8"/>
  <c r="AC9" i="8"/>
  <c r="AG9" i="8"/>
  <c r="AC10" i="8"/>
  <c r="AD10" i="8"/>
  <c r="AF10" i="8"/>
  <c r="AE11" i="8"/>
  <c r="AF11" i="8"/>
  <c r="AG11" i="8"/>
  <c r="AE13" i="8"/>
  <c r="AF13" i="8"/>
  <c r="AG13" i="8"/>
  <c r="AF14" i="8"/>
  <c r="AG14" i="8"/>
  <c r="AD15" i="8"/>
  <c r="AE15" i="8"/>
  <c r="AD16" i="8"/>
  <c r="AE16" i="8"/>
  <c r="AG16" i="8"/>
  <c r="AE4" i="8"/>
  <c r="AD4" i="8"/>
  <c r="Q5" i="8"/>
  <c r="R5" i="8"/>
  <c r="S5" i="8"/>
  <c r="T5" i="8"/>
  <c r="U5" i="8"/>
  <c r="Q6" i="8"/>
  <c r="R6" i="8"/>
  <c r="S6" i="8"/>
  <c r="S17" i="8" s="1"/>
  <c r="T6" i="8"/>
  <c r="U6" i="8"/>
  <c r="Q7" i="8"/>
  <c r="R7" i="8"/>
  <c r="S7" i="8"/>
  <c r="T7" i="8"/>
  <c r="U7" i="8"/>
  <c r="U17" i="8" s="1"/>
  <c r="Q8" i="8"/>
  <c r="R8" i="8"/>
  <c r="S8" i="8"/>
  <c r="T8" i="8"/>
  <c r="U8" i="8"/>
  <c r="Q9" i="8"/>
  <c r="R9" i="8"/>
  <c r="S9" i="8"/>
  <c r="T9" i="8"/>
  <c r="T17" i="8" s="1"/>
  <c r="U9" i="8"/>
  <c r="Q10" i="8"/>
  <c r="R10" i="8"/>
  <c r="S10" i="8"/>
  <c r="T10" i="8"/>
  <c r="U10" i="8"/>
  <c r="Q11" i="8"/>
  <c r="R11" i="8"/>
  <c r="S11" i="8"/>
  <c r="T11" i="8"/>
  <c r="U11" i="8"/>
  <c r="Q12" i="8"/>
  <c r="R12" i="8"/>
  <c r="S12" i="8"/>
  <c r="T12" i="8"/>
  <c r="U12" i="8"/>
  <c r="Q13" i="8"/>
  <c r="R13" i="8"/>
  <c r="S13" i="8"/>
  <c r="T13" i="8"/>
  <c r="U13" i="8"/>
  <c r="Q14" i="8"/>
  <c r="R14" i="8"/>
  <c r="S14" i="8"/>
  <c r="T14" i="8"/>
  <c r="U14" i="8"/>
  <c r="Q15" i="8"/>
  <c r="R15" i="8"/>
  <c r="S15" i="8"/>
  <c r="T15" i="8"/>
  <c r="U15" i="8"/>
  <c r="Q16" i="8"/>
  <c r="R16" i="8"/>
  <c r="S16" i="8"/>
  <c r="T16" i="8"/>
  <c r="U16" i="8"/>
  <c r="U4" i="8"/>
  <c r="T4" i="8"/>
  <c r="S4" i="8"/>
  <c r="R4" i="8"/>
  <c r="R17" i="8" s="1"/>
  <c r="Q4" i="8"/>
  <c r="N18" i="8"/>
  <c r="M18" i="8"/>
  <c r="L18" i="8"/>
  <c r="K18" i="8"/>
  <c r="J18" i="8"/>
  <c r="J10" i="8"/>
  <c r="K10" i="8"/>
  <c r="L10" i="8"/>
  <c r="M10" i="8"/>
  <c r="N10" i="8"/>
  <c r="J11" i="8"/>
  <c r="K11" i="8"/>
  <c r="L11" i="8"/>
  <c r="M11" i="8"/>
  <c r="N11" i="8"/>
  <c r="J12" i="8"/>
  <c r="K12" i="8"/>
  <c r="L12" i="8"/>
  <c r="M12" i="8"/>
  <c r="N12" i="8"/>
  <c r="J13" i="8"/>
  <c r="K13" i="8"/>
  <c r="L13" i="8"/>
  <c r="M13" i="8"/>
  <c r="N13" i="8"/>
  <c r="J14" i="8"/>
  <c r="K14" i="8"/>
  <c r="L14" i="8"/>
  <c r="M14" i="8"/>
  <c r="N14" i="8"/>
  <c r="J15" i="8"/>
  <c r="K15" i="8"/>
  <c r="L15" i="8"/>
  <c r="M15" i="8"/>
  <c r="N15" i="8"/>
  <c r="J16" i="8"/>
  <c r="K16" i="8"/>
  <c r="L16" i="8"/>
  <c r="M16" i="8"/>
  <c r="N16" i="8"/>
  <c r="N8" i="8"/>
  <c r="M8" i="8"/>
  <c r="L8" i="8"/>
  <c r="K8" i="8"/>
  <c r="J8" i="8"/>
  <c r="N7" i="8"/>
  <c r="M7" i="8"/>
  <c r="L7" i="8"/>
  <c r="K7" i="8"/>
  <c r="J7" i="8"/>
  <c r="N6" i="8"/>
  <c r="M6" i="8"/>
  <c r="L6" i="8"/>
  <c r="K6" i="8"/>
  <c r="J6" i="8"/>
  <c r="N5" i="8"/>
  <c r="M5" i="8"/>
  <c r="L5" i="8"/>
  <c r="K5" i="8"/>
  <c r="J5" i="8"/>
  <c r="N4" i="8"/>
  <c r="M4" i="8"/>
  <c r="L4" i="8"/>
  <c r="K4" i="8"/>
  <c r="J4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C7" i="8"/>
  <c r="C17" i="8" s="1"/>
  <c r="D7" i="8"/>
  <c r="E7" i="8"/>
  <c r="F7" i="8"/>
  <c r="G7" i="8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C12" i="8"/>
  <c r="D12" i="8"/>
  <c r="E12" i="8"/>
  <c r="F12" i="8"/>
  <c r="G12" i="8"/>
  <c r="C13" i="8"/>
  <c r="D13" i="8"/>
  <c r="E13" i="8"/>
  <c r="F13" i="8"/>
  <c r="G13" i="8"/>
  <c r="C14" i="8"/>
  <c r="D14" i="8"/>
  <c r="E14" i="8"/>
  <c r="F14" i="8"/>
  <c r="G14" i="8"/>
  <c r="C15" i="8"/>
  <c r="D15" i="8"/>
  <c r="E15" i="8"/>
  <c r="F15" i="8"/>
  <c r="G15" i="8"/>
  <c r="C16" i="8"/>
  <c r="D16" i="8"/>
  <c r="E16" i="8"/>
  <c r="F16" i="8"/>
  <c r="G16" i="8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3"/>
  <c r="C2" i="4"/>
  <c r="C2" i="5"/>
  <c r="C2" i="2"/>
  <c r="Y17" i="8" l="1"/>
  <c r="Z17" i="8"/>
  <c r="AE6" i="8"/>
  <c r="X17" i="8"/>
  <c r="AE17" i="8"/>
  <c r="AA17" i="8"/>
  <c r="AD17" i="8"/>
  <c r="W17" i="8"/>
  <c r="AG4" i="8"/>
  <c r="AG17" i="8" s="1"/>
  <c r="AF4" i="8"/>
  <c r="AF17" i="8" s="1"/>
  <c r="AC4" i="8"/>
  <c r="AC17" i="8" s="1"/>
  <c r="Q17" i="8"/>
  <c r="M17" i="8"/>
  <c r="K17" i="8"/>
  <c r="N17" i="8"/>
  <c r="L17" i="8"/>
  <c r="J17" i="8"/>
  <c r="G17" i="8"/>
  <c r="D17" i="8"/>
  <c r="F17" i="8"/>
  <c r="E17" i="8"/>
  <c r="C31" i="6"/>
  <c r="C28" i="6"/>
  <c r="C29" i="6"/>
  <c r="C19" i="6"/>
  <c r="C22" i="6" s="1"/>
  <c r="C12" i="6"/>
  <c r="F31" i="6"/>
  <c r="F28" i="6"/>
  <c r="F29" i="6"/>
  <c r="F19" i="6"/>
  <c r="F22" i="6" s="1"/>
  <c r="F12" i="6"/>
  <c r="E31" i="6"/>
  <c r="E28" i="6"/>
  <c r="E29" i="6"/>
  <c r="E19" i="6"/>
  <c r="E22" i="6" s="1"/>
  <c r="E12" i="6"/>
  <c r="C4" i="6"/>
  <c r="C7" i="6"/>
  <c r="C8" i="6"/>
  <c r="C9" i="6"/>
  <c r="C10" i="6"/>
  <c r="C11" i="6" s="1"/>
  <c r="F4" i="6"/>
  <c r="F7" i="6"/>
  <c r="F8" i="6"/>
  <c r="F9" i="6"/>
  <c r="F10" i="6"/>
  <c r="F11" i="6" s="1"/>
  <c r="E4" i="6"/>
  <c r="E7" i="6"/>
  <c r="E8" i="6"/>
  <c r="E9" i="6"/>
  <c r="E10" i="6"/>
  <c r="E11" i="6" s="1"/>
  <c r="D31" i="6"/>
  <c r="D28" i="6"/>
  <c r="D29" i="6"/>
  <c r="D19" i="6"/>
  <c r="D22" i="6" s="1"/>
  <c r="D12" i="6"/>
  <c r="D4" i="6"/>
  <c r="D7" i="6"/>
  <c r="D8" i="6"/>
  <c r="D9" i="6"/>
  <c r="D10" i="6"/>
  <c r="D11" i="6" s="1"/>
  <c r="A28" i="6"/>
  <c r="A29" i="6" s="1"/>
  <c r="A30" i="6" s="1"/>
  <c r="A31" i="6" s="1"/>
  <c r="A32" i="6" s="1"/>
  <c r="A19" i="6"/>
  <c r="A20" i="6" s="1"/>
  <c r="A21" i="6" s="1"/>
  <c r="A22" i="6" s="1"/>
  <c r="A23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Q19" i="5"/>
  <c r="P19" i="5"/>
  <c r="P22" i="5" s="1"/>
  <c r="O19" i="5"/>
  <c r="N19" i="5"/>
  <c r="N22" i="5" s="1"/>
  <c r="M19" i="5"/>
  <c r="L19" i="5"/>
  <c r="K19" i="5"/>
  <c r="K22" i="5" s="1"/>
  <c r="J19" i="5"/>
  <c r="J22" i="5" s="1"/>
  <c r="I19" i="5"/>
  <c r="H19" i="5"/>
  <c r="H22" i="5" s="1"/>
  <c r="G19" i="5"/>
  <c r="F19" i="5"/>
  <c r="F22" i="5" s="1"/>
  <c r="E19" i="5"/>
  <c r="D19" i="5"/>
  <c r="D22" i="5" s="1"/>
  <c r="C19" i="5"/>
  <c r="C22" i="5" s="1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Q10" i="5"/>
  <c r="Q11" i="5" s="1"/>
  <c r="P10" i="5"/>
  <c r="P11" i="5" s="1"/>
  <c r="P13" i="5" s="1"/>
  <c r="O10" i="5"/>
  <c r="N10" i="5"/>
  <c r="N11" i="5" s="1"/>
  <c r="N13" i="5" s="1"/>
  <c r="M10" i="5"/>
  <c r="L10" i="5"/>
  <c r="L11" i="5" s="1"/>
  <c r="K10" i="5"/>
  <c r="K11" i="5" s="1"/>
  <c r="J10" i="5"/>
  <c r="J11" i="5" s="1"/>
  <c r="I10" i="5"/>
  <c r="I11" i="5" s="1"/>
  <c r="H10" i="5"/>
  <c r="H11" i="5" s="1"/>
  <c r="H13" i="5" s="1"/>
  <c r="G10" i="5"/>
  <c r="F10" i="5"/>
  <c r="F11" i="5" s="1"/>
  <c r="F13" i="5" s="1"/>
  <c r="E10" i="5"/>
  <c r="E11" i="5" s="1"/>
  <c r="D10" i="5"/>
  <c r="D11" i="5" s="1"/>
  <c r="C10" i="5"/>
  <c r="C11" i="5" s="1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Q19" i="4"/>
  <c r="Q22" i="4" s="1"/>
  <c r="P19" i="4"/>
  <c r="P22" i="4" s="1"/>
  <c r="O19" i="4"/>
  <c r="O22" i="4" s="1"/>
  <c r="N19" i="4"/>
  <c r="N22" i="4" s="1"/>
  <c r="M19" i="4"/>
  <c r="L19" i="4"/>
  <c r="L22" i="4" s="1"/>
  <c r="K19" i="4"/>
  <c r="J19" i="4"/>
  <c r="J22" i="4" s="1"/>
  <c r="I19" i="4"/>
  <c r="I22" i="4" s="1"/>
  <c r="H19" i="4"/>
  <c r="H22" i="4" s="1"/>
  <c r="G19" i="4"/>
  <c r="G22" i="4" s="1"/>
  <c r="F19" i="4"/>
  <c r="F22" i="4" s="1"/>
  <c r="E19" i="4"/>
  <c r="E22" i="4" s="1"/>
  <c r="D19" i="4"/>
  <c r="D22" i="4" s="1"/>
  <c r="C19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Q10" i="4"/>
  <c r="P10" i="4"/>
  <c r="P11" i="4" s="1"/>
  <c r="O10" i="4"/>
  <c r="O11" i="4" s="1"/>
  <c r="N10" i="4"/>
  <c r="N11" i="4" s="1"/>
  <c r="M10" i="4"/>
  <c r="M11" i="4" s="1"/>
  <c r="L10" i="4"/>
  <c r="L11" i="4" s="1"/>
  <c r="K10" i="4"/>
  <c r="K11" i="4" s="1"/>
  <c r="J10" i="4"/>
  <c r="J11" i="4" s="1"/>
  <c r="J13" i="4" s="1"/>
  <c r="I10" i="4"/>
  <c r="H10" i="4"/>
  <c r="H11" i="4" s="1"/>
  <c r="G10" i="4"/>
  <c r="G11" i="4" s="1"/>
  <c r="F10" i="4"/>
  <c r="E10" i="4"/>
  <c r="E11" i="4" s="1"/>
  <c r="D10" i="4"/>
  <c r="D11" i="4" s="1"/>
  <c r="C10" i="4"/>
  <c r="C11" i="4" s="1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Q19" i="3"/>
  <c r="Q22" i="3" s="1"/>
  <c r="P19" i="3"/>
  <c r="P22" i="3" s="1"/>
  <c r="O19" i="3"/>
  <c r="O22" i="3" s="1"/>
  <c r="N19" i="3"/>
  <c r="N22" i="3" s="1"/>
  <c r="M19" i="3"/>
  <c r="M22" i="3" s="1"/>
  <c r="L19" i="3"/>
  <c r="L22" i="3" s="1"/>
  <c r="K19" i="3"/>
  <c r="K22" i="3" s="1"/>
  <c r="J19" i="3"/>
  <c r="J22" i="3" s="1"/>
  <c r="I19" i="3"/>
  <c r="I22" i="3" s="1"/>
  <c r="H19" i="3"/>
  <c r="H22" i="3" s="1"/>
  <c r="G19" i="3"/>
  <c r="G22" i="3" s="1"/>
  <c r="F19" i="3"/>
  <c r="F22" i="3" s="1"/>
  <c r="E19" i="3"/>
  <c r="E22" i="3" s="1"/>
  <c r="D19" i="3"/>
  <c r="D22" i="3" s="1"/>
  <c r="C19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Q10" i="3"/>
  <c r="Q11" i="3" s="1"/>
  <c r="P10" i="3"/>
  <c r="P11" i="3" s="1"/>
  <c r="O10" i="3"/>
  <c r="O11" i="3" s="1"/>
  <c r="N10" i="3"/>
  <c r="N11" i="3" s="1"/>
  <c r="M10" i="3"/>
  <c r="M11" i="3" s="1"/>
  <c r="L10" i="3"/>
  <c r="L11" i="3" s="1"/>
  <c r="K10" i="3"/>
  <c r="K11" i="3" s="1"/>
  <c r="J10" i="3"/>
  <c r="J11" i="3" s="1"/>
  <c r="I10" i="3"/>
  <c r="I11" i="3" s="1"/>
  <c r="H10" i="3"/>
  <c r="H11" i="3" s="1"/>
  <c r="G10" i="3"/>
  <c r="F10" i="3"/>
  <c r="F11" i="3" s="1"/>
  <c r="E10" i="3"/>
  <c r="E11" i="3" s="1"/>
  <c r="D10" i="3"/>
  <c r="D11" i="3" s="1"/>
  <c r="C10" i="3"/>
  <c r="C11" i="3" s="1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Q19" i="2"/>
  <c r="Q22" i="2" s="1"/>
  <c r="P19" i="2"/>
  <c r="P22" i="2" s="1"/>
  <c r="O19" i="2"/>
  <c r="O22" i="2" s="1"/>
  <c r="N19" i="2"/>
  <c r="N22" i="2" s="1"/>
  <c r="M19" i="2"/>
  <c r="L19" i="2"/>
  <c r="L22" i="2" s="1"/>
  <c r="K19" i="2"/>
  <c r="J19" i="2"/>
  <c r="J22" i="2" s="1"/>
  <c r="I19" i="2"/>
  <c r="I22" i="2" s="1"/>
  <c r="H19" i="2"/>
  <c r="H22" i="2" s="1"/>
  <c r="G19" i="2"/>
  <c r="G22" i="2" s="1"/>
  <c r="F19" i="2"/>
  <c r="F22" i="2" s="1"/>
  <c r="E19" i="2"/>
  <c r="E22" i="2" s="1"/>
  <c r="D19" i="2"/>
  <c r="D22" i="2" s="1"/>
  <c r="C19" i="2"/>
  <c r="C22" i="2" s="1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Q10" i="2"/>
  <c r="Q11" i="2" s="1"/>
  <c r="P10" i="2"/>
  <c r="P11" i="2" s="1"/>
  <c r="O10" i="2"/>
  <c r="O11" i="2" s="1"/>
  <c r="N10" i="2"/>
  <c r="N11" i="2" s="1"/>
  <c r="M10" i="2"/>
  <c r="M11" i="2" s="1"/>
  <c r="L10" i="2"/>
  <c r="L11" i="2" s="1"/>
  <c r="K10" i="2"/>
  <c r="K11" i="2" s="1"/>
  <c r="J10" i="2"/>
  <c r="J11" i="2" s="1"/>
  <c r="I10" i="2"/>
  <c r="I11" i="2" s="1"/>
  <c r="H10" i="2"/>
  <c r="H11" i="2" s="1"/>
  <c r="G10" i="2"/>
  <c r="G11" i="2" s="1"/>
  <c r="F10" i="2"/>
  <c r="F11" i="2" s="1"/>
  <c r="E10" i="2"/>
  <c r="E11" i="2" s="1"/>
  <c r="D10" i="2"/>
  <c r="D11" i="2" s="1"/>
  <c r="C10" i="2"/>
  <c r="C11" i="2" s="1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A28" i="5"/>
  <c r="A29" i="5" s="1"/>
  <c r="A30" i="5" s="1"/>
  <c r="A31" i="5" s="1"/>
  <c r="A32" i="5" s="1"/>
  <c r="Q22" i="5"/>
  <c r="O22" i="5"/>
  <c r="M22" i="5"/>
  <c r="L22" i="5"/>
  <c r="I22" i="5"/>
  <c r="G22" i="5"/>
  <c r="A19" i="5"/>
  <c r="A20" i="5" s="1"/>
  <c r="A21" i="5" s="1"/>
  <c r="A22" i="5" s="1"/>
  <c r="A23" i="5" s="1"/>
  <c r="O11" i="5"/>
  <c r="M11" i="5"/>
  <c r="G11" i="5"/>
  <c r="A5" i="5"/>
  <c r="A6" i="5" s="1"/>
  <c r="A7" i="5" s="1"/>
  <c r="A8" i="5" s="1"/>
  <c r="A9" i="5" s="1"/>
  <c r="A10" i="5" s="1"/>
  <c r="A11" i="5" s="1"/>
  <c r="A12" i="5" s="1"/>
  <c r="A13" i="5" s="1"/>
  <c r="A14" i="5" s="1"/>
  <c r="A28" i="4"/>
  <c r="A29" i="4" s="1"/>
  <c r="A30" i="4" s="1"/>
  <c r="A31" i="4" s="1"/>
  <c r="A32" i="4" s="1"/>
  <c r="M22" i="4"/>
  <c r="A19" i="4"/>
  <c r="A20" i="4" s="1"/>
  <c r="A21" i="4" s="1"/>
  <c r="A22" i="4" s="1"/>
  <c r="A23" i="4" s="1"/>
  <c r="Q11" i="4"/>
  <c r="I11" i="4"/>
  <c r="F11" i="4"/>
  <c r="A5" i="4"/>
  <c r="A6" i="4" s="1"/>
  <c r="A7" i="4" s="1"/>
  <c r="A8" i="4" s="1"/>
  <c r="A9" i="4" s="1"/>
  <c r="A10" i="4" s="1"/>
  <c r="A11" i="4" s="1"/>
  <c r="A12" i="4" s="1"/>
  <c r="A13" i="4" s="1"/>
  <c r="A14" i="4" s="1"/>
  <c r="A28" i="3"/>
  <c r="A29" i="3" s="1"/>
  <c r="A30" i="3" s="1"/>
  <c r="A31" i="3" s="1"/>
  <c r="A32" i="3" s="1"/>
  <c r="A19" i="3"/>
  <c r="A20" i="3" s="1"/>
  <c r="A21" i="3" s="1"/>
  <c r="A22" i="3" s="1"/>
  <c r="A23" i="3" s="1"/>
  <c r="G11" i="3"/>
  <c r="A5" i="3"/>
  <c r="A6" i="3" s="1"/>
  <c r="A7" i="3" s="1"/>
  <c r="A8" i="3" s="1"/>
  <c r="A9" i="3" s="1"/>
  <c r="A10" i="3" s="1"/>
  <c r="A11" i="3" s="1"/>
  <c r="A12" i="3" s="1"/>
  <c r="A13" i="3" s="1"/>
  <c r="A14" i="3" s="1"/>
  <c r="A28" i="2"/>
  <c r="A29" i="2" s="1"/>
  <c r="A30" i="2" s="1"/>
  <c r="A31" i="2" s="1"/>
  <c r="A32" i="2" s="1"/>
  <c r="M22" i="2"/>
  <c r="A19" i="2"/>
  <c r="A20" i="2" s="1"/>
  <c r="A21" i="2" s="1"/>
  <c r="A22" i="2" s="1"/>
  <c r="A23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C19" i="1"/>
  <c r="C22" i="1" s="1"/>
  <c r="D19" i="1"/>
  <c r="D22" i="1" s="1"/>
  <c r="E19" i="1"/>
  <c r="E22" i="1" s="1"/>
  <c r="F19" i="1"/>
  <c r="F22" i="1" s="1"/>
  <c r="G19" i="1"/>
  <c r="G22" i="1" s="1"/>
  <c r="H19" i="1"/>
  <c r="H22" i="1" s="1"/>
  <c r="I19" i="1"/>
  <c r="I22" i="1" s="1"/>
  <c r="J19" i="1"/>
  <c r="J22" i="1" s="1"/>
  <c r="K19" i="1"/>
  <c r="K22" i="1" s="1"/>
  <c r="L19" i="1"/>
  <c r="L22" i="1" s="1"/>
  <c r="M19" i="1"/>
  <c r="M22" i="1" s="1"/>
  <c r="N19" i="1"/>
  <c r="N22" i="1" s="1"/>
  <c r="O19" i="1"/>
  <c r="O22" i="1" s="1"/>
  <c r="P19" i="1"/>
  <c r="P22" i="1" s="1"/>
  <c r="Q19" i="1"/>
  <c r="Q22" i="1" s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C10" i="1"/>
  <c r="C11" i="1" s="1"/>
  <c r="D10" i="1"/>
  <c r="D11" i="1" s="1"/>
  <c r="E10" i="1"/>
  <c r="E11" i="1" s="1"/>
  <c r="F10" i="1"/>
  <c r="F11" i="1" s="1"/>
  <c r="G10" i="1"/>
  <c r="G11" i="1" s="1"/>
  <c r="H10" i="1"/>
  <c r="H11" i="1" s="1"/>
  <c r="I10" i="1"/>
  <c r="I11" i="1" s="1"/>
  <c r="J10" i="1"/>
  <c r="J11" i="1" s="1"/>
  <c r="K10" i="1"/>
  <c r="K11" i="1" s="1"/>
  <c r="L10" i="1"/>
  <c r="L11" i="1" s="1"/>
  <c r="M10" i="1"/>
  <c r="M11" i="1" s="1"/>
  <c r="N10" i="1"/>
  <c r="N11" i="1" s="1"/>
  <c r="O10" i="1"/>
  <c r="O11" i="1" s="1"/>
  <c r="P10" i="1"/>
  <c r="P11" i="1" s="1"/>
  <c r="Q10" i="1"/>
  <c r="Q11" i="1" s="1"/>
  <c r="A28" i="1"/>
  <c r="A29" i="1" s="1"/>
  <c r="A30" i="1" s="1"/>
  <c r="A31" i="1" s="1"/>
  <c r="A32" i="1" s="1"/>
  <c r="A19" i="1"/>
  <c r="A20" i="1" s="1"/>
  <c r="A21" i="1" s="1"/>
  <c r="A22" i="1" s="1"/>
  <c r="A2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O13" i="1" l="1"/>
  <c r="G13" i="1"/>
  <c r="G14" i="1" s="1"/>
  <c r="G20" i="1" s="1"/>
  <c r="K13" i="3"/>
  <c r="K14" i="3" s="1"/>
  <c r="K20" i="3" s="1"/>
  <c r="C13" i="3"/>
  <c r="C14" i="3" s="1"/>
  <c r="G13" i="4"/>
  <c r="O13" i="4"/>
  <c r="O14" i="4" s="1"/>
  <c r="O20" i="4" s="1"/>
  <c r="C13" i="5"/>
  <c r="C14" i="5" s="1"/>
  <c r="K13" i="5"/>
  <c r="K14" i="5" s="1"/>
  <c r="K20" i="5" s="1"/>
  <c r="L13" i="1"/>
  <c r="L14" i="1" s="1"/>
  <c r="L20" i="1" s="1"/>
  <c r="D13" i="1"/>
  <c r="D14" i="1" s="1"/>
  <c r="D20" i="1" s="1"/>
  <c r="M13" i="5"/>
  <c r="I13" i="4"/>
  <c r="I14" i="4" s="1"/>
  <c r="I20" i="4" s="1"/>
  <c r="I13" i="3"/>
  <c r="E13" i="2"/>
  <c r="E14" i="2" s="1"/>
  <c r="M13" i="4"/>
  <c r="M14" i="4" s="1"/>
  <c r="M20" i="4" s="1"/>
  <c r="Q13" i="5"/>
  <c r="Q14" i="5" s="1"/>
  <c r="O14" i="1"/>
  <c r="O20" i="1" s="1"/>
  <c r="M13" i="2"/>
  <c r="M14" i="2" s="1"/>
  <c r="M20" i="2" s="1"/>
  <c r="Q13" i="3"/>
  <c r="Q14" i="3" s="1"/>
  <c r="H13" i="2"/>
  <c r="H14" i="2" s="1"/>
  <c r="P13" i="2"/>
  <c r="L13" i="3"/>
  <c r="L14" i="3" s="1"/>
  <c r="L20" i="3" s="1"/>
  <c r="H13" i="4"/>
  <c r="H14" i="4" s="1"/>
  <c r="P13" i="4"/>
  <c r="P14" i="4" s="1"/>
  <c r="P20" i="4" s="1"/>
  <c r="J13" i="1"/>
  <c r="J14" i="1" s="1"/>
  <c r="J20" i="1" s="1"/>
  <c r="I13" i="5"/>
  <c r="I14" i="5" s="1"/>
  <c r="I20" i="5" s="1"/>
  <c r="I13" i="2"/>
  <c r="I14" i="2" s="1"/>
  <c r="I20" i="2" s="1"/>
  <c r="M13" i="1"/>
  <c r="M14" i="1" s="1"/>
  <c r="M20" i="1" s="1"/>
  <c r="E13" i="1"/>
  <c r="E14" i="1" s="1"/>
  <c r="E20" i="1" s="1"/>
  <c r="Q13" i="1"/>
  <c r="Q14" i="1" s="1"/>
  <c r="Q20" i="1" s="1"/>
  <c r="I13" i="1"/>
  <c r="I14" i="1" s="1"/>
  <c r="I20" i="1" s="1"/>
  <c r="F13" i="2"/>
  <c r="F14" i="2" s="1"/>
  <c r="N13" i="2"/>
  <c r="N14" i="2" s="1"/>
  <c r="N20" i="2" s="1"/>
  <c r="J13" i="3"/>
  <c r="J14" i="3" s="1"/>
  <c r="J20" i="3" s="1"/>
  <c r="J13" i="5"/>
  <c r="J14" i="5" s="1"/>
  <c r="J20" i="5" s="1"/>
  <c r="G14" i="4"/>
  <c r="G20" i="4" s="1"/>
  <c r="E13" i="5"/>
  <c r="E14" i="5" s="1"/>
  <c r="N14" i="5"/>
  <c r="N20" i="5" s="1"/>
  <c r="M13" i="3"/>
  <c r="M14" i="3" s="1"/>
  <c r="M20" i="3" s="1"/>
  <c r="C13" i="2"/>
  <c r="C14" i="2" s="1"/>
  <c r="E20" i="3"/>
  <c r="O13" i="3"/>
  <c r="O14" i="3" s="1"/>
  <c r="O20" i="3" s="1"/>
  <c r="C13" i="4"/>
  <c r="C14" i="4" s="1"/>
  <c r="K13" i="4"/>
  <c r="K14" i="4" s="1"/>
  <c r="K20" i="4" s="1"/>
  <c r="Q13" i="2"/>
  <c r="Q14" i="2" s="1"/>
  <c r="E13" i="3"/>
  <c r="E14" i="3" s="1"/>
  <c r="F14" i="5"/>
  <c r="C13" i="1"/>
  <c r="C14" i="1" s="1"/>
  <c r="C20" i="1" s="1"/>
  <c r="K13" i="1"/>
  <c r="K14" i="1" s="1"/>
  <c r="K20" i="1" s="1"/>
  <c r="G13" i="3"/>
  <c r="G14" i="3" s="1"/>
  <c r="G20" i="3" s="1"/>
  <c r="Q13" i="4"/>
  <c r="Q14" i="4" s="1"/>
  <c r="D13" i="2"/>
  <c r="D14" i="2" s="1"/>
  <c r="L13" i="2"/>
  <c r="L14" i="2" s="1"/>
  <c r="L20" i="2" s="1"/>
  <c r="D13" i="4"/>
  <c r="D14" i="4" s="1"/>
  <c r="L13" i="4"/>
  <c r="L14" i="4" s="1"/>
  <c r="L20" i="4" s="1"/>
  <c r="O13" i="5"/>
  <c r="O14" i="5" s="1"/>
  <c r="O20" i="5" s="1"/>
  <c r="D13" i="5"/>
  <c r="D14" i="5" s="1"/>
  <c r="L13" i="5"/>
  <c r="L14" i="5" s="1"/>
  <c r="L20" i="5" s="1"/>
  <c r="P14" i="5"/>
  <c r="P20" i="5" s="1"/>
  <c r="G13" i="5"/>
  <c r="G14" i="5" s="1"/>
  <c r="G20" i="5" s="1"/>
  <c r="H14" i="5"/>
  <c r="M14" i="5"/>
  <c r="M20" i="5" s="1"/>
  <c r="N13" i="4"/>
  <c r="N14" i="4" s="1"/>
  <c r="N20" i="4" s="1"/>
  <c r="E13" i="4"/>
  <c r="E14" i="4" s="1"/>
  <c r="C20" i="4"/>
  <c r="F13" i="4"/>
  <c r="F14" i="4" s="1"/>
  <c r="H13" i="3"/>
  <c r="H14" i="3" s="1"/>
  <c r="I14" i="3"/>
  <c r="I20" i="3" s="1"/>
  <c r="N13" i="3"/>
  <c r="N14" i="3" s="1"/>
  <c r="N20" i="3" s="1"/>
  <c r="F13" i="3"/>
  <c r="F14" i="3" s="1"/>
  <c r="P13" i="3"/>
  <c r="P14" i="3" s="1"/>
  <c r="P20" i="3" s="1"/>
  <c r="O13" i="2"/>
  <c r="O14" i="2" s="1"/>
  <c r="O20" i="2" s="1"/>
  <c r="J13" i="2"/>
  <c r="J14" i="2" s="1"/>
  <c r="J20" i="2" s="1"/>
  <c r="K13" i="2"/>
  <c r="K14" i="2" s="1"/>
  <c r="K20" i="2" s="1"/>
  <c r="P14" i="2"/>
  <c r="P20" i="2" s="1"/>
  <c r="G13" i="2"/>
  <c r="G14" i="2" s="1"/>
  <c r="G20" i="2" s="1"/>
  <c r="P13" i="1"/>
  <c r="P14" i="1" s="1"/>
  <c r="P20" i="1" s="1"/>
  <c r="H13" i="1"/>
  <c r="H14" i="1" s="1"/>
  <c r="H20" i="1" s="1"/>
  <c r="F13" i="1"/>
  <c r="F14" i="1" s="1"/>
  <c r="F20" i="1" s="1"/>
  <c r="D13" i="6"/>
  <c r="E13" i="6"/>
  <c r="C13" i="6"/>
  <c r="F13" i="6"/>
  <c r="C20" i="6"/>
  <c r="E20" i="6"/>
  <c r="F20" i="6"/>
  <c r="D20" i="6"/>
  <c r="J14" i="4"/>
  <c r="J20" i="4" s="1"/>
  <c r="D20" i="5"/>
  <c r="E20" i="5"/>
  <c r="C20" i="2"/>
  <c r="D13" i="3"/>
  <c r="D14" i="3" s="1"/>
  <c r="C20" i="3"/>
  <c r="C22" i="3"/>
  <c r="E22" i="5"/>
  <c r="C22" i="4"/>
  <c r="E20" i="2"/>
  <c r="C20" i="5"/>
  <c r="F20" i="5"/>
  <c r="H20" i="5"/>
  <c r="Q20" i="5"/>
  <c r="D20" i="4"/>
  <c r="E20" i="4"/>
  <c r="K22" i="4"/>
  <c r="F20" i="4"/>
  <c r="H20" i="4"/>
  <c r="Q20" i="4"/>
  <c r="D20" i="3"/>
  <c r="F20" i="3"/>
  <c r="H20" i="3"/>
  <c r="Q20" i="3"/>
  <c r="D20" i="2"/>
  <c r="K22" i="2"/>
  <c r="F20" i="2"/>
  <c r="H20" i="2"/>
  <c r="Q20" i="2"/>
  <c r="N13" i="1"/>
  <c r="N14" i="1" s="1"/>
  <c r="N20" i="1" s="1"/>
  <c r="O18" i="2" l="1"/>
  <c r="P18" i="2"/>
  <c r="L18" i="2"/>
  <c r="K18" i="3"/>
  <c r="O18" i="3"/>
  <c r="P18" i="3"/>
  <c r="N18" i="3"/>
  <c r="N27" i="3" l="1"/>
  <c r="N30" i="3" s="1"/>
  <c r="N32" i="3" s="1"/>
  <c r="N21" i="3"/>
  <c r="N23" i="3" s="1"/>
  <c r="P27" i="2"/>
  <c r="P30" i="2" s="1"/>
  <c r="P32" i="2" s="1"/>
  <c r="P21" i="2"/>
  <c r="P23" i="2" s="1"/>
  <c r="P27" i="3"/>
  <c r="P30" i="3" s="1"/>
  <c r="P32" i="3" s="1"/>
  <c r="P21" i="3"/>
  <c r="P23" i="3" s="1"/>
  <c r="O27" i="3"/>
  <c r="O30" i="3" s="1"/>
  <c r="O32" i="3" s="1"/>
  <c r="O21" i="3"/>
  <c r="O23" i="3" s="1"/>
  <c r="O34" i="3" s="1"/>
  <c r="O27" i="2"/>
  <c r="O30" i="2" s="1"/>
  <c r="O32" i="2" s="1"/>
  <c r="O21" i="2"/>
  <c r="O23" i="2" s="1"/>
  <c r="K27" i="3"/>
  <c r="K30" i="3" s="1"/>
  <c r="K32" i="3" s="1"/>
  <c r="K21" i="3"/>
  <c r="K23" i="3" s="1"/>
  <c r="L27" i="2"/>
  <c r="L30" i="2" s="1"/>
  <c r="L32" i="2" s="1"/>
  <c r="L21" i="2"/>
  <c r="L23" i="2" s="1"/>
  <c r="K18" i="2"/>
  <c r="J18" i="2"/>
  <c r="I18" i="2"/>
  <c r="N18" i="2"/>
  <c r="M18" i="2"/>
  <c r="H18" i="2"/>
  <c r="H18" i="4"/>
  <c r="H18" i="3"/>
  <c r="H18" i="5"/>
  <c r="J18" i="3"/>
  <c r="F18" i="2"/>
  <c r="E18" i="3"/>
  <c r="D18" i="3"/>
  <c r="N18" i="4"/>
  <c r="M18" i="4"/>
  <c r="L18" i="4"/>
  <c r="G18" i="5"/>
  <c r="I18" i="4"/>
  <c r="P18" i="4"/>
  <c r="G18" i="3"/>
  <c r="O18" i="5"/>
  <c r="C18" i="5"/>
  <c r="J18" i="5"/>
  <c r="K18" i="5"/>
  <c r="F18" i="4"/>
  <c r="E18" i="4"/>
  <c r="D18" i="4"/>
  <c r="C18" i="4"/>
  <c r="O18" i="4"/>
  <c r="D18" i="2"/>
  <c r="E18" i="2"/>
  <c r="C18" i="2"/>
  <c r="E18" i="5"/>
  <c r="D18" i="5"/>
  <c r="C18" i="3"/>
  <c r="N18" i="5"/>
  <c r="M18" i="5"/>
  <c r="L18" i="5"/>
  <c r="K18" i="4"/>
  <c r="J18" i="4"/>
  <c r="M18" i="3"/>
  <c r="L18" i="3"/>
  <c r="F18" i="3"/>
  <c r="F18" i="5"/>
  <c r="I18" i="5"/>
  <c r="P18" i="5"/>
  <c r="G18" i="4"/>
  <c r="I18" i="3"/>
  <c r="G18" i="2"/>
  <c r="K34" i="3" l="1"/>
  <c r="P34" i="2"/>
  <c r="E14" i="7" s="1"/>
  <c r="E27" i="4"/>
  <c r="E30" i="4" s="1"/>
  <c r="E32" i="4" s="1"/>
  <c r="E21" i="4"/>
  <c r="E23" i="4" s="1"/>
  <c r="H27" i="2"/>
  <c r="H30" i="2" s="1"/>
  <c r="H32" i="2" s="1"/>
  <c r="H21" i="2"/>
  <c r="H23" i="2" s="1"/>
  <c r="P27" i="5"/>
  <c r="P30" i="5" s="1"/>
  <c r="P32" i="5" s="1"/>
  <c r="P21" i="5"/>
  <c r="P23" i="5" s="1"/>
  <c r="N27" i="5"/>
  <c r="N30" i="5" s="1"/>
  <c r="N32" i="5" s="1"/>
  <c r="N21" i="5"/>
  <c r="N23" i="5" s="1"/>
  <c r="E27" i="2"/>
  <c r="E30" i="2" s="1"/>
  <c r="E32" i="2" s="1"/>
  <c r="E21" i="2"/>
  <c r="E23" i="2" s="1"/>
  <c r="G27" i="5"/>
  <c r="G30" i="5" s="1"/>
  <c r="G32" i="5" s="1"/>
  <c r="G21" i="5"/>
  <c r="G23" i="5" s="1"/>
  <c r="N27" i="2"/>
  <c r="N30" i="2" s="1"/>
  <c r="N32" i="2" s="1"/>
  <c r="N21" i="2"/>
  <c r="N23" i="2" s="1"/>
  <c r="G27" i="2"/>
  <c r="G30" i="2" s="1"/>
  <c r="G32" i="2" s="1"/>
  <c r="G21" i="2"/>
  <c r="G23" i="2" s="1"/>
  <c r="L27" i="3"/>
  <c r="L30" i="3" s="1"/>
  <c r="L32" i="3" s="1"/>
  <c r="L21" i="3"/>
  <c r="L23" i="3" s="1"/>
  <c r="D27" i="2"/>
  <c r="D30" i="2" s="1"/>
  <c r="D32" i="2" s="1"/>
  <c r="D21" i="2"/>
  <c r="D23" i="2" s="1"/>
  <c r="F27" i="4"/>
  <c r="F30" i="4" s="1"/>
  <c r="F32" i="4" s="1"/>
  <c r="F21" i="4"/>
  <c r="F23" i="4" s="1"/>
  <c r="F27" i="2"/>
  <c r="F30" i="2" s="1"/>
  <c r="F32" i="2" s="1"/>
  <c r="F21" i="2"/>
  <c r="F23" i="2" s="1"/>
  <c r="H27" i="4"/>
  <c r="H30" i="4" s="1"/>
  <c r="H32" i="4" s="1"/>
  <c r="H21" i="4"/>
  <c r="H23" i="4" s="1"/>
  <c r="Q18" i="2"/>
  <c r="L34" i="2"/>
  <c r="P34" i="3"/>
  <c r="F14" i="7" s="1"/>
  <c r="O27" i="5"/>
  <c r="O30" i="5" s="1"/>
  <c r="O32" i="5" s="1"/>
  <c r="O21" i="5"/>
  <c r="O23" i="5" s="1"/>
  <c r="M27" i="2"/>
  <c r="M30" i="2" s="1"/>
  <c r="M32" i="2" s="1"/>
  <c r="M21" i="2"/>
  <c r="M23" i="2" s="1"/>
  <c r="I27" i="5"/>
  <c r="I30" i="5" s="1"/>
  <c r="I32" i="5" s="1"/>
  <c r="I21" i="5"/>
  <c r="I23" i="5" s="1"/>
  <c r="M27" i="3"/>
  <c r="M30" i="3" s="1"/>
  <c r="M32" i="3" s="1"/>
  <c r="M21" i="3"/>
  <c r="M23" i="3" s="1"/>
  <c r="C27" i="3"/>
  <c r="C30" i="3" s="1"/>
  <c r="C32" i="3" s="1"/>
  <c r="C21" i="3"/>
  <c r="C23" i="3" s="1"/>
  <c r="G27" i="3"/>
  <c r="G30" i="3" s="1"/>
  <c r="G32" i="3" s="1"/>
  <c r="G21" i="3"/>
  <c r="G23" i="3" s="1"/>
  <c r="L27" i="4"/>
  <c r="L30" i="4" s="1"/>
  <c r="L32" i="4" s="1"/>
  <c r="L21" i="4"/>
  <c r="L23" i="4" s="1"/>
  <c r="I27" i="2"/>
  <c r="I30" i="2" s="1"/>
  <c r="I32" i="2" s="1"/>
  <c r="I21" i="2"/>
  <c r="I23" i="2" s="1"/>
  <c r="E21" i="3"/>
  <c r="E23" i="3" s="1"/>
  <c r="E27" i="3"/>
  <c r="E30" i="3" s="1"/>
  <c r="E32" i="3" s="1"/>
  <c r="O27" i="4"/>
  <c r="O30" i="4" s="1"/>
  <c r="O32" i="4" s="1"/>
  <c r="O21" i="4"/>
  <c r="O23" i="4" s="1"/>
  <c r="M27" i="4"/>
  <c r="M30" i="4" s="1"/>
  <c r="M32" i="4" s="1"/>
  <c r="M21" i="4"/>
  <c r="M23" i="4" s="1"/>
  <c r="Q18" i="3"/>
  <c r="I27" i="3"/>
  <c r="I30" i="3" s="1"/>
  <c r="I32" i="3" s="1"/>
  <c r="I21" i="3"/>
  <c r="I23" i="3" s="1"/>
  <c r="F27" i="5"/>
  <c r="F30" i="5" s="1"/>
  <c r="F32" i="5" s="1"/>
  <c r="F21" i="5"/>
  <c r="F23" i="5" s="1"/>
  <c r="K27" i="4"/>
  <c r="K30" i="4" s="1"/>
  <c r="K32" i="4" s="1"/>
  <c r="K21" i="4"/>
  <c r="K23" i="4" s="1"/>
  <c r="D27" i="5"/>
  <c r="D30" i="5" s="1"/>
  <c r="D32" i="5" s="1"/>
  <c r="D21" i="5"/>
  <c r="D23" i="5" s="1"/>
  <c r="C27" i="4"/>
  <c r="C30" i="4" s="1"/>
  <c r="C32" i="4" s="1"/>
  <c r="C21" i="4"/>
  <c r="C23" i="4" s="1"/>
  <c r="J27" i="5"/>
  <c r="J30" i="5" s="1"/>
  <c r="J32" i="5" s="1"/>
  <c r="J21" i="5"/>
  <c r="J23" i="5" s="1"/>
  <c r="P27" i="4"/>
  <c r="P30" i="4" s="1"/>
  <c r="P32" i="4" s="1"/>
  <c r="P21" i="4"/>
  <c r="P23" i="4" s="1"/>
  <c r="N27" i="4"/>
  <c r="N30" i="4" s="1"/>
  <c r="N32" i="4" s="1"/>
  <c r="N21" i="4"/>
  <c r="N23" i="4" s="1"/>
  <c r="F27" i="3"/>
  <c r="F30" i="3" s="1"/>
  <c r="F32" i="3" s="1"/>
  <c r="F21" i="3"/>
  <c r="F23" i="3" s="1"/>
  <c r="H27" i="3"/>
  <c r="H30" i="3" s="1"/>
  <c r="H32" i="3" s="1"/>
  <c r="H21" i="3"/>
  <c r="H23" i="3" s="1"/>
  <c r="E27" i="5"/>
  <c r="E30" i="5" s="1"/>
  <c r="E32" i="5" s="1"/>
  <c r="E21" i="5"/>
  <c r="E23" i="5" s="1"/>
  <c r="J27" i="3"/>
  <c r="J30" i="3" s="1"/>
  <c r="J32" i="3" s="1"/>
  <c r="J21" i="3"/>
  <c r="J23" i="3" s="1"/>
  <c r="H27" i="5"/>
  <c r="H30" i="5" s="1"/>
  <c r="H32" i="5" s="1"/>
  <c r="H21" i="5"/>
  <c r="H23" i="5" s="1"/>
  <c r="Q18" i="4"/>
  <c r="J27" i="2"/>
  <c r="J30" i="2" s="1"/>
  <c r="J32" i="2" s="1"/>
  <c r="J21" i="2"/>
  <c r="J23" i="2" s="1"/>
  <c r="O34" i="2"/>
  <c r="N34" i="3"/>
  <c r="M27" i="5"/>
  <c r="M30" i="5" s="1"/>
  <c r="M32" i="5" s="1"/>
  <c r="M21" i="5"/>
  <c r="M23" i="5" s="1"/>
  <c r="M34" i="5" s="1"/>
  <c r="J27" i="4"/>
  <c r="J30" i="4" s="1"/>
  <c r="J32" i="4" s="1"/>
  <c r="J21" i="4"/>
  <c r="J23" i="4" s="1"/>
  <c r="K27" i="5"/>
  <c r="K30" i="5" s="1"/>
  <c r="K32" i="5" s="1"/>
  <c r="K21" i="5"/>
  <c r="K23" i="5" s="1"/>
  <c r="Q18" i="5"/>
  <c r="G27" i="4"/>
  <c r="G30" i="4" s="1"/>
  <c r="G32" i="4" s="1"/>
  <c r="G21" i="4"/>
  <c r="G23" i="4" s="1"/>
  <c r="L27" i="5"/>
  <c r="L30" i="5" s="1"/>
  <c r="L32" i="5" s="1"/>
  <c r="L21" i="5"/>
  <c r="L23" i="5" s="1"/>
  <c r="C27" i="2"/>
  <c r="C30" i="2" s="1"/>
  <c r="C32" i="2" s="1"/>
  <c r="C21" i="2"/>
  <c r="C23" i="2" s="1"/>
  <c r="D27" i="4"/>
  <c r="D30" i="4" s="1"/>
  <c r="D32" i="4" s="1"/>
  <c r="D21" i="4"/>
  <c r="D23" i="4" s="1"/>
  <c r="C27" i="5"/>
  <c r="C30" i="5" s="1"/>
  <c r="C32" i="5" s="1"/>
  <c r="C21" i="5"/>
  <c r="C23" i="5" s="1"/>
  <c r="I27" i="4"/>
  <c r="I30" i="4" s="1"/>
  <c r="I32" i="4" s="1"/>
  <c r="I21" i="4"/>
  <c r="I23" i="4" s="1"/>
  <c r="D27" i="3"/>
  <c r="D30" i="3" s="1"/>
  <c r="D32" i="3" s="1"/>
  <c r="D21" i="3"/>
  <c r="D23" i="3" s="1"/>
  <c r="K27" i="2"/>
  <c r="K30" i="2" s="1"/>
  <c r="K32" i="2" s="1"/>
  <c r="K21" i="2"/>
  <c r="K23" i="2" s="1"/>
  <c r="I34" i="2" l="1"/>
  <c r="E11" i="7" s="1"/>
  <c r="M34" i="3"/>
  <c r="D34" i="3"/>
  <c r="C34" i="2"/>
  <c r="E5" i="7" s="1"/>
  <c r="H34" i="3"/>
  <c r="F10" i="7" s="1"/>
  <c r="J34" i="5"/>
  <c r="F34" i="5"/>
  <c r="H7" i="7" s="1"/>
  <c r="F34" i="2"/>
  <c r="E7" i="7" s="1"/>
  <c r="G34" i="2"/>
  <c r="E9" i="7" s="1"/>
  <c r="N34" i="5"/>
  <c r="J34" i="4"/>
  <c r="C34" i="3"/>
  <c r="F5" i="7" s="1"/>
  <c r="O34" i="5"/>
  <c r="C34" i="5"/>
  <c r="G34" i="4"/>
  <c r="G9" i="7" s="1"/>
  <c r="J34" i="3"/>
  <c r="F12" i="7" s="1"/>
  <c r="N34" i="4"/>
  <c r="D34" i="2"/>
  <c r="G34" i="5"/>
  <c r="H9" i="7" s="1"/>
  <c r="H34" i="2"/>
  <c r="E10" i="7" s="1"/>
  <c r="I34" i="4"/>
  <c r="G11" i="7" s="1"/>
  <c r="L34" i="5"/>
  <c r="H34" i="5"/>
  <c r="H10" i="7" s="1"/>
  <c r="F34" i="3"/>
  <c r="F7" i="7" s="1"/>
  <c r="C34" i="4"/>
  <c r="I34" i="3"/>
  <c r="F11" i="7" s="1"/>
  <c r="F34" i="4"/>
  <c r="G7" i="7" s="1"/>
  <c r="N34" i="2"/>
  <c r="K34" i="2"/>
  <c r="D34" i="4"/>
  <c r="E34" i="5"/>
  <c r="P34" i="4"/>
  <c r="G14" i="7" s="1"/>
  <c r="K34" i="4"/>
  <c r="G12" i="7" s="1"/>
  <c r="H34" i="4"/>
  <c r="G10" i="7" s="1"/>
  <c r="L34" i="3"/>
  <c r="F13" i="7" s="1"/>
  <c r="E34" i="2"/>
  <c r="E34" i="4"/>
  <c r="M34" i="4"/>
  <c r="L34" i="4"/>
  <c r="I34" i="5"/>
  <c r="H11" i="7" s="1"/>
  <c r="K34" i="5"/>
  <c r="J34" i="2"/>
  <c r="O34" i="4"/>
  <c r="G34" i="3"/>
  <c r="F9" i="7" s="1"/>
  <c r="M34" i="2"/>
  <c r="D34" i="5"/>
  <c r="P34" i="5"/>
  <c r="H14" i="7" s="1"/>
  <c r="E34" i="3"/>
  <c r="F6" i="7" s="1"/>
  <c r="Q27" i="5"/>
  <c r="Q30" i="5" s="1"/>
  <c r="Q32" i="5" s="1"/>
  <c r="Q21" i="5"/>
  <c r="Q23" i="5" s="1"/>
  <c r="Q27" i="3"/>
  <c r="Q30" i="3" s="1"/>
  <c r="Q32" i="3" s="1"/>
  <c r="Q21" i="3"/>
  <c r="Q23" i="3" s="1"/>
  <c r="Q27" i="2"/>
  <c r="Q30" i="2" s="1"/>
  <c r="Q32" i="2" s="1"/>
  <c r="Q21" i="2"/>
  <c r="Q23" i="2" s="1"/>
  <c r="Q27" i="4"/>
  <c r="Q30" i="4" s="1"/>
  <c r="Q32" i="4" s="1"/>
  <c r="Q21" i="4"/>
  <c r="Q23" i="4" s="1"/>
  <c r="H12" i="7" l="1"/>
  <c r="H13" i="7"/>
  <c r="H5" i="7"/>
  <c r="Q34" i="2"/>
  <c r="E15" i="7" s="1"/>
  <c r="H6" i="7"/>
  <c r="E6" i="7"/>
  <c r="E13" i="7"/>
  <c r="G5" i="7"/>
  <c r="Q34" i="5"/>
  <c r="H15" i="7" s="1"/>
  <c r="E12" i="7"/>
  <c r="G6" i="7"/>
  <c r="G13" i="7"/>
  <c r="Q34" i="3"/>
  <c r="F15" i="7" s="1"/>
  <c r="Q34" i="4"/>
  <c r="G15" i="7" s="1"/>
  <c r="H16" i="7" l="1"/>
  <c r="H17" i="7" s="1"/>
  <c r="E16" i="7"/>
  <c r="E17" i="7" s="1"/>
  <c r="F16" i="7"/>
  <c r="F17" i="7" s="1"/>
  <c r="G16" i="7"/>
  <c r="G17" i="7" s="1"/>
  <c r="D5" i="6"/>
  <c r="E5" i="6"/>
  <c r="C6" i="6"/>
  <c r="C14" i="6" s="1"/>
  <c r="C5" i="6"/>
  <c r="F5" i="6"/>
  <c r="E18" i="6"/>
  <c r="F6" i="6" l="1"/>
  <c r="F14" i="6" s="1"/>
  <c r="E6" i="6"/>
  <c r="E14" i="6" s="1"/>
  <c r="E27" i="6"/>
  <c r="E30" i="6" s="1"/>
  <c r="E32" i="6" s="1"/>
  <c r="E21" i="6"/>
  <c r="E23" i="6" s="1"/>
  <c r="E34" i="6" s="1"/>
  <c r="C10" i="7" s="1"/>
  <c r="D6" i="6"/>
  <c r="D14" i="6" s="1"/>
  <c r="F18" i="6" l="1"/>
  <c r="C18" i="6"/>
  <c r="C27" i="6" l="1"/>
  <c r="C30" i="6" s="1"/>
  <c r="C32" i="6" s="1"/>
  <c r="C21" i="6"/>
  <c r="C23" i="6" s="1"/>
  <c r="F27" i="6"/>
  <c r="F30" i="6" s="1"/>
  <c r="F32" i="6" s="1"/>
  <c r="F21" i="6"/>
  <c r="F23" i="6" s="1"/>
  <c r="F34" i="6" s="1"/>
  <c r="C15" i="7" s="1"/>
  <c r="C34" i="6" l="1"/>
  <c r="C6" i="7" s="1"/>
  <c r="D18" i="6"/>
  <c r="D27" i="6" l="1"/>
  <c r="D30" i="6" s="1"/>
  <c r="D32" i="6" s="1"/>
  <c r="D21" i="6"/>
  <c r="D23" i="6" s="1"/>
  <c r="D34" i="6" l="1"/>
  <c r="C7" i="7" s="1"/>
  <c r="P18" i="1"/>
  <c r="C16" i="7" l="1"/>
  <c r="P27" i="1"/>
  <c r="P30" i="1" s="1"/>
  <c r="P32" i="1" s="1"/>
  <c r="P21" i="1"/>
  <c r="P23" i="1" s="1"/>
  <c r="P34" i="1" s="1"/>
  <c r="D14" i="7" s="1"/>
  <c r="C18" i="1" l="1"/>
  <c r="O18" i="1"/>
  <c r="J18" i="1"/>
  <c r="Q18" i="1"/>
  <c r="J27" i="1" l="1"/>
  <c r="J30" i="1" s="1"/>
  <c r="J32" i="1" s="1"/>
  <c r="J21" i="1"/>
  <c r="J23" i="1" s="1"/>
  <c r="Q27" i="1"/>
  <c r="Q30" i="1" s="1"/>
  <c r="Q32" i="1" s="1"/>
  <c r="Q21" i="1"/>
  <c r="Q23" i="1" s="1"/>
  <c r="O27" i="1"/>
  <c r="O30" i="1" s="1"/>
  <c r="O32" i="1" s="1"/>
  <c r="O21" i="1"/>
  <c r="O23" i="1" s="1"/>
  <c r="O34" i="1" s="1"/>
  <c r="C27" i="1"/>
  <c r="C30" i="1" s="1"/>
  <c r="C32" i="1" s="1"/>
  <c r="C21" i="1"/>
  <c r="C23" i="1" s="1"/>
  <c r="K18" i="1"/>
  <c r="C34" i="1" l="1"/>
  <c r="D5" i="7" s="1"/>
  <c r="Q34" i="1"/>
  <c r="D15" i="7" s="1"/>
  <c r="J34" i="1"/>
  <c r="K27" i="1"/>
  <c r="K30" i="1" s="1"/>
  <c r="K32" i="1" s="1"/>
  <c r="K21" i="1"/>
  <c r="K23" i="1" s="1"/>
  <c r="K34" i="1" s="1"/>
  <c r="D18" i="1"/>
  <c r="E18" i="1"/>
  <c r="D12" i="7" l="1"/>
  <c r="E27" i="1"/>
  <c r="E30" i="1" s="1"/>
  <c r="E32" i="1" s="1"/>
  <c r="E21" i="1"/>
  <c r="E23" i="1" s="1"/>
  <c r="D27" i="1"/>
  <c r="D30" i="1" s="1"/>
  <c r="D32" i="1" s="1"/>
  <c r="D21" i="1"/>
  <c r="D23" i="1" s="1"/>
  <c r="H18" i="1"/>
  <c r="E34" i="1" l="1"/>
  <c r="D34" i="1"/>
  <c r="D6" i="7" s="1"/>
  <c r="H27" i="1"/>
  <c r="H30" i="1" s="1"/>
  <c r="H32" i="1" s="1"/>
  <c r="H21" i="1"/>
  <c r="H23" i="1" s="1"/>
  <c r="H34" i="1" l="1"/>
  <c r="D10" i="7" s="1"/>
  <c r="G18" i="1"/>
  <c r="G27" i="1" l="1"/>
  <c r="G30" i="1" s="1"/>
  <c r="G32" i="1" s="1"/>
  <c r="G21" i="1"/>
  <c r="G23" i="1" s="1"/>
  <c r="G34" i="1" l="1"/>
  <c r="D9" i="7" s="1"/>
  <c r="L18" i="1"/>
  <c r="L27" i="1" l="1"/>
  <c r="L30" i="1" s="1"/>
  <c r="L32" i="1" s="1"/>
  <c r="L21" i="1"/>
  <c r="L23" i="1" s="1"/>
  <c r="N18" i="1"/>
  <c r="M18" i="1"/>
  <c r="L34" i="1" l="1"/>
  <c r="M27" i="1"/>
  <c r="M30" i="1" s="1"/>
  <c r="M32" i="1" s="1"/>
  <c r="M21" i="1"/>
  <c r="M23" i="1" s="1"/>
  <c r="N27" i="1"/>
  <c r="N30" i="1" s="1"/>
  <c r="N32" i="1" s="1"/>
  <c r="N21" i="1"/>
  <c r="N23" i="1" s="1"/>
  <c r="N34" i="1" l="1"/>
  <c r="M34" i="1"/>
  <c r="F18" i="1"/>
  <c r="D13" i="7" l="1"/>
  <c r="F27" i="1"/>
  <c r="F30" i="1" s="1"/>
  <c r="F32" i="1" s="1"/>
  <c r="F21" i="1"/>
  <c r="F23" i="1" s="1"/>
  <c r="F34" i="1" s="1"/>
  <c r="D7" i="7" s="1"/>
  <c r="I18" i="1" l="1"/>
  <c r="I27" i="1" l="1"/>
  <c r="I30" i="1" s="1"/>
  <c r="I32" i="1" s="1"/>
  <c r="I21" i="1"/>
  <c r="I23" i="1" s="1"/>
  <c r="I34" i="1" l="1"/>
  <c r="D11" i="7" s="1"/>
  <c r="D16" i="7" l="1"/>
  <c r="D17" i="7" s="1"/>
</calcChain>
</file>

<file path=xl/sharedStrings.xml><?xml version="1.0" encoding="utf-8"?>
<sst xmlns="http://schemas.openxmlformats.org/spreadsheetml/2006/main" count="378" uniqueCount="75">
  <si>
    <t>Koradi 6</t>
  </si>
  <si>
    <t>Particulars</t>
  </si>
  <si>
    <t>Reagent</t>
  </si>
  <si>
    <t>Reagent Cost per Ton</t>
  </si>
  <si>
    <t>Chandrapur 3-4</t>
  </si>
  <si>
    <t>Khaperkheda 1-2</t>
  </si>
  <si>
    <t>Khaperkheda 3-4</t>
  </si>
  <si>
    <t>Paras 3 &amp; 4</t>
  </si>
  <si>
    <t xml:space="preserve">Parli 6 &amp; 7 
</t>
  </si>
  <si>
    <t>Khaperkheda 5</t>
  </si>
  <si>
    <t>Bhusawal 4</t>
  </si>
  <si>
    <t>Bhusawal 5</t>
  </si>
  <si>
    <t>Koradi 8</t>
  </si>
  <si>
    <t>Koradi 9</t>
  </si>
  <si>
    <t>Koradi 10</t>
  </si>
  <si>
    <t>Chandrapur 5,6 &amp;7</t>
  </si>
  <si>
    <t>Chandrapur 8 &amp; 9</t>
  </si>
  <si>
    <t xml:space="preserve"> 
Parli 8</t>
  </si>
  <si>
    <t>SHR (kCal/kWh)</t>
  </si>
  <si>
    <t>GCV (kCal/kg)</t>
  </si>
  <si>
    <t>CVPF (kCal/kg)</t>
  </si>
  <si>
    <t>S (%)</t>
  </si>
  <si>
    <t>LP/SBC Purity (%)</t>
  </si>
  <si>
    <t>SO2 Emission norm 
(100/200 mg/Nm3; 600 mg/Nm3)</t>
  </si>
  <si>
    <t>% as per SO2 Emission norm</t>
  </si>
  <si>
    <t>Multiplication Factor</t>
  </si>
  <si>
    <t>Design SO2 removal efficiency</t>
  </si>
  <si>
    <t>K</t>
  </si>
  <si>
    <t>Sp. Limestone consumption (g/kWh)</t>
  </si>
  <si>
    <t>Reagent Cost and Requirement</t>
  </si>
  <si>
    <t>Gross Generation (MU)</t>
  </si>
  <si>
    <t>Sp. reagent consumption (g/kWh)</t>
  </si>
  <si>
    <t>Total Reagent Req. (T)</t>
  </si>
  <si>
    <t>Total Reagent Cost (Rs.Cr)</t>
  </si>
  <si>
    <t>Ammonia Consumption and Cost of SCR system</t>
  </si>
  <si>
    <t>Sp. Ammonia Req. (g/kWh)</t>
  </si>
  <si>
    <t>Total Ammonia Req. (T)</t>
  </si>
  <si>
    <t>Ammonia Cost per Ton</t>
  </si>
  <si>
    <t>Total Ammonia Cost (Rs.Cr)</t>
  </si>
  <si>
    <t>S. No.</t>
  </si>
  <si>
    <t>Total Fuel Cost- Emission Control System</t>
  </si>
  <si>
    <t>Working of reagent cost</t>
  </si>
  <si>
    <t>Bhusawal Unit 3</t>
  </si>
  <si>
    <t>Chandrapur Units 3 -7</t>
  </si>
  <si>
    <t>Khaperkheda Units 1-4</t>
  </si>
  <si>
    <t>Koradi Unit 6</t>
  </si>
  <si>
    <t>Nashik  Units 3-5</t>
  </si>
  <si>
    <t>Paras Units 3-4</t>
  </si>
  <si>
    <t>Parli Units 6-7</t>
  </si>
  <si>
    <t>Khaperkheda Unit 5</t>
  </si>
  <si>
    <t>Bhusawal Units 4-5</t>
  </si>
  <si>
    <t>Koradi Units 8-10</t>
  </si>
  <si>
    <t>Chandrapur Units 8-9</t>
  </si>
  <si>
    <t>Parli Unit 8</t>
  </si>
  <si>
    <t>FY 24-25</t>
  </si>
  <si>
    <t>FY 25-26</t>
  </si>
  <si>
    <t>FY 26-27</t>
  </si>
  <si>
    <t>FY 27-28</t>
  </si>
  <si>
    <t>FY 28-29</t>
  </si>
  <si>
    <t>FY 29-30</t>
  </si>
  <si>
    <t>Total</t>
  </si>
  <si>
    <t>Commissioning Date of FGD/SCR</t>
  </si>
  <si>
    <t>Rs. Crore</t>
  </si>
  <si>
    <t>Remark</t>
  </si>
  <si>
    <t>As per Regulations</t>
  </si>
  <si>
    <t>12 gm per kWh at 100% purity for SBC as per Regulations and for limestone as per above formula in row no. 14</t>
  </si>
  <si>
    <t>Summary of reagent cost</t>
  </si>
  <si>
    <t>Koradi Units 6-7</t>
  </si>
  <si>
    <t>Nashik Units 3-5</t>
  </si>
  <si>
    <t xml:space="preserve">Uran </t>
  </si>
  <si>
    <t>Total Fuel cost including reagent Cost - Table 175 of the Petition (Rs. Crore)</t>
  </si>
  <si>
    <t>Reagent Cost (Rs. Crore)</t>
  </si>
  <si>
    <t>Fuel cost excluding reagent Cost (Rs. Crore)</t>
  </si>
  <si>
    <t>Crosscheck</t>
  </si>
  <si>
    <t>As per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</si>
</sst>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1" xfId="1" applyNumberFormat="1" applyFont="1" applyBorder="1"/>
    <xf numFmtId="9" fontId="2" fillId="2" borderId="1" xfId="2" applyFont="1" applyFill="1" applyBorder="1" applyAlignment="1">
      <alignment horizontal="center" vertical="center"/>
    </xf>
    <xf numFmtId="0" fontId="2" fillId="0" borderId="0" xfId="0" applyFont="1"/>
    <xf numFmtId="9" fontId="0" fillId="0" borderId="1" xfId="2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1" fontId="0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0" fillId="0" borderId="1" xfId="0" applyNumberFormat="1" applyFont="1" applyBorder="1"/>
    <xf numFmtId="43" fontId="2" fillId="0" borderId="1" xfId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3" fontId="0" fillId="0" borderId="1" xfId="1" applyFont="1" applyBorder="1"/>
    <xf numFmtId="43" fontId="0" fillId="0" borderId="1" xfId="1" applyFont="1" applyFill="1" applyBorder="1"/>
    <xf numFmtId="9" fontId="0" fillId="0" borderId="1" xfId="0" applyNumberFormat="1" applyFont="1" applyBorder="1"/>
    <xf numFmtId="0" fontId="0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2" borderId="1" xfId="2" applyFont="1" applyFill="1" applyBorder="1" applyAlignment="1">
      <alignment horizontal="left" vertical="center"/>
    </xf>
    <xf numFmtId="43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/>
    <xf numFmtId="43" fontId="0" fillId="0" borderId="1" xfId="0" applyNumberFormat="1" applyBorder="1"/>
    <xf numFmtId="43" fontId="0" fillId="0" borderId="0" xfId="0" applyNumberFormat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43" fontId="0" fillId="4" borderId="1" xfId="1" applyFont="1" applyFill="1" applyBorder="1"/>
    <xf numFmtId="14" fontId="0" fillId="0" borderId="0" xfId="0" applyNumberFormat="1" applyFont="1"/>
    <xf numFmtId="0" fontId="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Write%20up/Tables%20for%20write%20u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8.%20Parli%20Units%206%20&amp;%20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9.%20Khaperkheda%20Unit%20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10.%20Bhusawal%20Units%204%20&amp;%20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11.%20Koradi%20Units%208,%209%20&amp;%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12.%20Chandrapur%20Units%208%20&amp;%20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13.%20Parli%20Unit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True%20Up%20and%20MYT%20Summary_FY26-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1.%20Bhusawal%20Unit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2.%20Chandrapur%20Unit%203-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3.%20Khaperkheda%20Unit%201-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4.%20Koradi%20Unit%206-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5.%20Nashik%20Unit%203-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6.%20Ura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7.%20Paras%20Units%203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note"/>
      <sheetName val="Review Impact_F"/>
      <sheetName val="Review Order"/>
      <sheetName val="Cum gap"/>
      <sheetName val="Capex"/>
      <sheetName val="MYT"/>
      <sheetName val="23&amp;24"/>
      <sheetName val="AFC"/>
      <sheetName val="24-25"/>
      <sheetName val="Ex Sum Table_F"/>
      <sheetName val="Review_F"/>
      <sheetName val="Operational parameters"/>
      <sheetName val="BTPS_4-5 LD Impact"/>
      <sheetName val="KRD_8-10 LD impact"/>
      <sheetName val="CPR8-9 UDL impact"/>
      <sheetName val="Parli8 UDL impact"/>
      <sheetName val="Others"/>
      <sheetName val="Sheet2"/>
      <sheetName val="Sheet1"/>
      <sheetName val="F1 All"/>
      <sheetName val="Final True-up- FY 20-21 &amp; 21-22"/>
      <sheetName val="Provisional True-up for 2022-23"/>
      <sheetName val="Projections FY 23-24 &amp; 24-25"/>
    </sheetNames>
    <sheetDataSet>
      <sheetData sheetId="0"/>
      <sheetData sheetId="1"/>
      <sheetData sheetId="2"/>
      <sheetData sheetId="3"/>
      <sheetData sheetId="4"/>
      <sheetData sheetId="5">
        <row r="258">
          <cell r="AV258">
            <v>704.28227154619367</v>
          </cell>
          <cell r="AW258">
            <v>739.46925716763462</v>
          </cell>
          <cell r="AX258">
            <v>776.44272002601656</v>
          </cell>
          <cell r="AY258">
            <v>815.26485602731748</v>
          </cell>
          <cell r="AZ258">
            <v>856.02809882868326</v>
          </cell>
        </row>
        <row r="259">
          <cell r="AV259">
            <v>5578.4730805644867</v>
          </cell>
          <cell r="AW259">
            <v>5843.5917563221828</v>
          </cell>
          <cell r="AX259">
            <v>6124.1979237297164</v>
          </cell>
          <cell r="AY259">
            <v>6389.2591961349417</v>
          </cell>
          <cell r="AZ259">
            <v>6659.4514666340137</v>
          </cell>
        </row>
        <row r="260">
          <cell r="AV260">
            <v>2243.2489294276684</v>
          </cell>
          <cell r="AW260">
            <v>2352.2159733087424</v>
          </cell>
          <cell r="AX260">
            <v>2435.816472914079</v>
          </cell>
          <cell r="AY260">
            <v>2490.8465102888663</v>
          </cell>
          <cell r="AZ260">
            <v>2581.377926277054</v>
          </cell>
        </row>
        <row r="261">
          <cell r="AV261">
            <v>488.92886959941052</v>
          </cell>
          <cell r="AW261">
            <v>504.27177613293304</v>
          </cell>
          <cell r="AX261">
            <v>520.38996371823612</v>
          </cell>
          <cell r="AY261">
            <v>577.16959967945581</v>
          </cell>
          <cell r="AZ261">
            <v>596.93267844208503</v>
          </cell>
        </row>
        <row r="262">
          <cell r="AV262">
            <v>2146.6681029820447</v>
          </cell>
          <cell r="AW262">
            <v>2231.1549012913961</v>
          </cell>
          <cell r="AX262">
            <v>2319.9211286674586</v>
          </cell>
          <cell r="AY262">
            <v>2412.9548910434728</v>
          </cell>
          <cell r="AZ262">
            <v>2510.6952929666513</v>
          </cell>
        </row>
        <row r="263">
          <cell r="AV263">
            <v>1220.4112160553632</v>
          </cell>
          <cell r="AW263">
            <v>1220.4112160553632</v>
          </cell>
          <cell r="AX263">
            <v>1223.7553195847752</v>
          </cell>
          <cell r="AY263">
            <v>1220.4112160553632</v>
          </cell>
          <cell r="AZ263">
            <v>1220.4112160553632</v>
          </cell>
        </row>
        <row r="264">
          <cell r="AV264">
            <v>1336.8804381659625</v>
          </cell>
          <cell r="AW264">
            <v>1409.4627146214161</v>
          </cell>
          <cell r="AX264">
            <v>1478.5021729105117</v>
          </cell>
          <cell r="AY264">
            <v>1551.1000219210853</v>
          </cell>
          <cell r="AZ264">
            <v>1627.3862748187573</v>
          </cell>
        </row>
        <row r="265">
          <cell r="AV265">
            <v>2173.9740324163677</v>
          </cell>
          <cell r="AW265">
            <v>2270.9516703072577</v>
          </cell>
          <cell r="AX265">
            <v>2372.6993049207417</v>
          </cell>
          <cell r="AY265">
            <v>2479.6200021644208</v>
          </cell>
          <cell r="AZ265">
            <v>2591.6215326816255</v>
          </cell>
        </row>
        <row r="266">
          <cell r="AV266">
            <v>1212.8859173577605</v>
          </cell>
          <cell r="AW266">
            <v>1257.5097847836173</v>
          </cell>
          <cell r="AX266">
            <v>1326.2824758473307</v>
          </cell>
          <cell r="AY266">
            <v>1375.5185571552863</v>
          </cell>
          <cell r="AZ266">
            <v>1427.2164425286408</v>
          </cell>
        </row>
        <row r="267">
          <cell r="AV267">
            <v>3044.4720250184691</v>
          </cell>
          <cell r="AW267">
            <v>3170.3935191245555</v>
          </cell>
          <cell r="AX267">
            <v>3341.0323559543081</v>
          </cell>
          <cell r="AY267">
            <v>3485.3387864990204</v>
          </cell>
          <cell r="AZ267">
            <v>3631.0464703913885</v>
          </cell>
        </row>
        <row r="268">
          <cell r="AV268">
            <v>4889.5672939325104</v>
          </cell>
          <cell r="AW268">
            <v>5091.315662486536</v>
          </cell>
          <cell r="AX268">
            <v>5363.5311414528642</v>
          </cell>
          <cell r="AY268">
            <v>5341.1329227824908</v>
          </cell>
          <cell r="AZ268">
            <v>5174.9425846297108</v>
          </cell>
        </row>
        <row r="269">
          <cell r="AV269">
            <v>2678.0535676680306</v>
          </cell>
          <cell r="AW269">
            <v>2772.3770271689418</v>
          </cell>
          <cell r="AX269">
            <v>2875.0677905919024</v>
          </cell>
          <cell r="AY269">
            <v>2681.3965530673545</v>
          </cell>
          <cell r="AZ269">
            <v>2730.7292439322464</v>
          </cell>
        </row>
        <row r="270">
          <cell r="AV270">
            <v>1088.7355910185738</v>
          </cell>
          <cell r="AW270">
            <v>1137.2727254671195</v>
          </cell>
          <cell r="AX270">
            <v>1164.6273178643514</v>
          </cell>
          <cell r="AY270">
            <v>1215.5387914604528</v>
          </cell>
          <cell r="AZ270">
            <v>1268.995838736359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 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0.85</v>
          </cell>
        </row>
      </sheetData>
      <sheetData sheetId="2">
        <row r="11">
          <cell r="S11">
            <v>1937.9832383759515</v>
          </cell>
          <cell r="T11">
            <v>2034.9526922696707</v>
          </cell>
          <cell r="U11">
            <v>2136.700326883155</v>
          </cell>
          <cell r="V11">
            <v>2243.6128401296633</v>
          </cell>
          <cell r="W11">
            <v>2355.6307386412091</v>
          </cell>
        </row>
      </sheetData>
      <sheetData sheetId="3"/>
      <sheetData sheetId="4">
        <row r="15">
          <cell r="M15">
            <v>0.85</v>
          </cell>
        </row>
      </sheetData>
      <sheetData sheetId="5">
        <row r="12">
          <cell r="F12">
            <v>0.85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162.23377476541765</v>
          </cell>
        </row>
      </sheetData>
      <sheetData sheetId="13">
        <row r="27">
          <cell r="E27">
            <v>15.2799575</v>
          </cell>
        </row>
      </sheetData>
      <sheetData sheetId="14"/>
      <sheetData sheetId="15"/>
      <sheetData sheetId="16"/>
      <sheetData sheetId="17">
        <row r="12">
          <cell r="D12">
            <v>37.570000000000007</v>
          </cell>
        </row>
      </sheetData>
      <sheetData sheetId="18"/>
      <sheetData sheetId="19"/>
      <sheetData sheetId="20"/>
      <sheetData sheetId="21">
        <row r="31">
          <cell r="E31">
            <v>34.320665886</v>
          </cell>
        </row>
      </sheetData>
      <sheetData sheetId="22"/>
      <sheetData sheetId="23"/>
      <sheetData sheetId="24">
        <row r="23">
          <cell r="D23">
            <v>12.85802300106911</v>
          </cell>
        </row>
      </sheetData>
      <sheetData sheetId="25"/>
      <sheetData sheetId="26"/>
      <sheetData sheetId="27">
        <row r="13">
          <cell r="N13">
            <v>1562.1948942674001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1233.754662977874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0.85</v>
          </cell>
        </row>
      </sheetData>
      <sheetData sheetId="2">
        <row r="11">
          <cell r="S11">
            <v>1212.8859173577605</v>
          </cell>
          <cell r="T11">
            <v>1257.5097847836173</v>
          </cell>
          <cell r="U11">
            <v>1304.4012907911949</v>
          </cell>
          <cell r="V11">
            <v>1353.6373720991505</v>
          </cell>
          <cell r="W11">
            <v>1405.335257472505</v>
          </cell>
        </row>
      </sheetData>
      <sheetData sheetId="3"/>
      <sheetData sheetId="4">
        <row r="15">
          <cell r="M15">
            <v>0.85</v>
          </cell>
        </row>
      </sheetData>
      <sheetData sheetId="5">
        <row r="12">
          <cell r="F12">
            <v>0.85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105.80844878809812</v>
          </cell>
        </row>
      </sheetData>
      <sheetData sheetId="13">
        <row r="27">
          <cell r="E27">
            <v>5.5984667939999877</v>
          </cell>
        </row>
      </sheetData>
      <sheetData sheetId="14"/>
      <sheetData sheetId="15"/>
      <sheetData sheetId="16"/>
      <sheetData sheetId="17">
        <row r="12">
          <cell r="D12">
            <v>22.099999999999998</v>
          </cell>
        </row>
      </sheetData>
      <sheetData sheetId="18"/>
      <sheetData sheetId="19"/>
      <sheetData sheetId="20"/>
      <sheetData sheetId="21">
        <row r="31">
          <cell r="E31">
            <v>152.07706475199998</v>
          </cell>
        </row>
      </sheetData>
      <sheetData sheetId="22"/>
      <sheetData sheetId="23"/>
      <sheetData sheetId="24">
        <row r="23">
          <cell r="D23">
            <v>62.777317681152454</v>
          </cell>
        </row>
      </sheetData>
      <sheetData sheetId="25"/>
      <sheetData sheetId="26"/>
      <sheetData sheetId="27">
        <row r="13">
          <cell r="N13">
            <v>1750.8649457571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1126.0752412301072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F14.9"/>
      <sheetName val="F15"/>
      <sheetName val="F16"/>
      <sheetName val="F17"/>
    </sheetNames>
    <sheetDataSet>
      <sheetData sheetId="0"/>
      <sheetData sheetId="1">
        <row r="3">
          <cell r="D3">
            <v>0.85</v>
          </cell>
        </row>
      </sheetData>
      <sheetData sheetId="2">
        <row r="11">
          <cell r="S11">
            <v>3044.4720250184691</v>
          </cell>
          <cell r="T11">
            <v>3170.3935191245555</v>
          </cell>
          <cell r="U11">
            <v>3302.5519977345348</v>
          </cell>
          <cell r="V11">
            <v>3441.3776247723363</v>
          </cell>
          <cell r="W11">
            <v>3587.0853086647044</v>
          </cell>
        </row>
      </sheetData>
      <sheetData sheetId="3"/>
      <sheetData sheetId="4">
        <row r="15">
          <cell r="M15">
            <v>0.85</v>
          </cell>
        </row>
      </sheetData>
      <sheetData sheetId="5">
        <row r="12">
          <cell r="F12">
            <v>0.85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214.84421058897681</v>
          </cell>
        </row>
      </sheetData>
      <sheetData sheetId="13">
        <row r="27">
          <cell r="E27">
            <v>9.0421222563555421</v>
          </cell>
        </row>
      </sheetData>
      <sheetData sheetId="14"/>
      <sheetData sheetId="15"/>
      <sheetData sheetId="16"/>
      <sheetData sheetId="17">
        <row r="12">
          <cell r="D12">
            <v>18.87</v>
          </cell>
        </row>
      </sheetData>
      <sheetData sheetId="18"/>
      <sheetData sheetId="19"/>
      <sheetData sheetId="20"/>
      <sheetData sheetId="21">
        <row r="31">
          <cell r="E31">
            <v>13.919354240000001</v>
          </cell>
        </row>
      </sheetData>
      <sheetData sheetId="22"/>
      <sheetData sheetId="23"/>
      <sheetData sheetId="24">
        <row r="23">
          <cell r="D23">
            <v>197.17298201983851</v>
          </cell>
        </row>
      </sheetData>
      <sheetData sheetId="25"/>
      <sheetData sheetId="26"/>
      <sheetData sheetId="27">
        <row r="13">
          <cell r="N13">
            <v>3225.1970230970001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2310.0879525373866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0.85</v>
          </cell>
        </row>
      </sheetData>
      <sheetData sheetId="2">
        <row r="11">
          <cell r="S11">
            <v>4889.5672939325104</v>
          </cell>
          <cell r="T11">
            <v>5085.0479566562826</v>
          </cell>
          <cell r="U11">
            <v>5293.3783823543481</v>
          </cell>
          <cell r="V11">
            <v>5263.6839453922385</v>
          </cell>
          <cell r="W11">
            <v>5096.1667032768892</v>
          </cell>
        </row>
      </sheetData>
      <sheetData sheetId="3"/>
      <sheetData sheetId="4">
        <row r="15">
          <cell r="M15">
            <v>0.85</v>
          </cell>
        </row>
      </sheetData>
      <sheetData sheetId="5">
        <row r="12">
          <cell r="F12">
            <v>0.85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466.65731084300864</v>
          </cell>
        </row>
      </sheetData>
      <sheetData sheetId="13">
        <row r="27">
          <cell r="E27">
            <v>86.9473510336</v>
          </cell>
        </row>
      </sheetData>
      <sheetData sheetId="14"/>
      <sheetData sheetId="15"/>
      <sheetData sheetId="16"/>
      <sheetData sheetId="17">
        <row r="12">
          <cell r="D12">
            <v>306.92</v>
          </cell>
        </row>
      </sheetData>
      <sheetData sheetId="18"/>
      <sheetData sheetId="19"/>
      <sheetData sheetId="20"/>
      <sheetData sheetId="21">
        <row r="31">
          <cell r="E31">
            <v>215.12678851200005</v>
          </cell>
        </row>
      </sheetData>
      <sheetData sheetId="22"/>
      <sheetData sheetId="23"/>
      <sheetData sheetId="24">
        <row r="23">
          <cell r="D23">
            <v>611.06679905536191</v>
          </cell>
        </row>
      </sheetData>
      <sheetData sheetId="25"/>
      <sheetData sheetId="26"/>
      <sheetData sheetId="27">
        <row r="13">
          <cell r="N13">
            <v>4868.3450990079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3288.6089738487613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/>
      <sheetData sheetId="2">
        <row r="11">
          <cell r="S11">
            <v>2678.0535676680306</v>
          </cell>
          <cell r="T11">
            <v>2772.3770271689418</v>
          </cell>
          <cell r="U11">
            <v>2853.5939223959672</v>
          </cell>
          <cell r="V11">
            <v>2651.8503554418721</v>
          </cell>
          <cell r="W11">
            <v>2701.3045740617999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0.85</v>
          </cell>
        </row>
      </sheetData>
      <sheetData sheetId="2">
        <row r="11">
          <cell r="S11">
            <v>970.74268897091065</v>
          </cell>
          <cell r="T11">
            <v>1019.2798234194563</v>
          </cell>
          <cell r="U11">
            <v>1046.6293675317329</v>
          </cell>
          <cell r="V11">
            <v>1097.5408411278343</v>
          </cell>
          <cell r="W11">
            <v>1150.9978884037405</v>
          </cell>
        </row>
      </sheetData>
      <sheetData sheetId="3"/>
      <sheetData sheetId="4">
        <row r="15">
          <cell r="M15">
            <v>0.85</v>
          </cell>
        </row>
      </sheetData>
      <sheetData sheetId="5">
        <row r="12">
          <cell r="F12">
            <v>0.85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80.150695830193015</v>
          </cell>
        </row>
      </sheetData>
      <sheetData sheetId="13">
        <row r="27">
          <cell r="E27">
            <v>8.7347056900263649</v>
          </cell>
        </row>
      </sheetData>
      <sheetData sheetId="14"/>
      <sheetData sheetId="15"/>
      <sheetData sheetId="16"/>
      <sheetData sheetId="17">
        <row r="12">
          <cell r="D12">
            <v>103.65525509999999</v>
          </cell>
        </row>
      </sheetData>
      <sheetData sheetId="18"/>
      <sheetData sheetId="19"/>
      <sheetData sheetId="20"/>
      <sheetData sheetId="21">
        <row r="31">
          <cell r="E31">
            <v>12.807359327</v>
          </cell>
        </row>
      </sheetData>
      <sheetData sheetId="22"/>
      <sheetData sheetId="23"/>
      <sheetData sheetId="24">
        <row r="23">
          <cell r="D23">
            <v>104.10314949894547</v>
          </cell>
        </row>
      </sheetData>
      <sheetData sheetId="25"/>
      <sheetData sheetId="26"/>
      <sheetData sheetId="27">
        <row r="13">
          <cell r="N13">
            <v>729.12588118660005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502.8266832958642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TPS_4-5 LD Impact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Fuel Projection"/>
      <sheetName val="Op Parameters MYT"/>
      <sheetName val="FY 22-23"/>
      <sheetName val="FY 23-24"/>
      <sheetName val="FY 24-25 H1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COD's"/>
      <sheetName val="Esc rate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441">
          <cell r="I1441">
            <v>2455.75</v>
          </cell>
          <cell r="M1441">
            <v>2430</v>
          </cell>
          <cell r="N1441">
            <v>2430</v>
          </cell>
          <cell r="O1441">
            <v>2630</v>
          </cell>
        </row>
        <row r="1442">
          <cell r="I1442">
            <v>3345.6775545240412</v>
          </cell>
          <cell r="M1442">
            <v>3145</v>
          </cell>
          <cell r="N1442">
            <v>3145</v>
          </cell>
          <cell r="O1442">
            <v>3147.7989967967833</v>
          </cell>
        </row>
        <row r="1443">
          <cell r="I1443">
            <v>3260.6775545240412</v>
          </cell>
          <cell r="M1443">
            <v>3060</v>
          </cell>
          <cell r="N1443">
            <v>3060</v>
          </cell>
          <cell r="O1443">
            <v>3062.7989967967833</v>
          </cell>
        </row>
        <row r="1444">
          <cell r="I1444">
            <v>7.4999999999999997E-3</v>
          </cell>
          <cell r="M1444">
            <v>7.4999999999999997E-3</v>
          </cell>
          <cell r="N1444">
            <v>7.4999999999999997E-3</v>
          </cell>
          <cell r="O1444">
            <v>7.4999999999999997E-3</v>
          </cell>
        </row>
        <row r="1445">
          <cell r="I1445">
            <v>0.85</v>
          </cell>
          <cell r="M1445">
            <v>0.85</v>
          </cell>
          <cell r="N1445">
            <v>0.85</v>
          </cell>
          <cell r="O1445">
            <v>0.85</v>
          </cell>
        </row>
        <row r="1446">
          <cell r="I1446">
            <v>600</v>
          </cell>
          <cell r="M1446">
            <v>600</v>
          </cell>
          <cell r="N1446">
            <v>600</v>
          </cell>
          <cell r="O1446">
            <v>600</v>
          </cell>
        </row>
        <row r="1447">
          <cell r="I1447">
            <v>0.73</v>
          </cell>
          <cell r="M1447">
            <v>0.73</v>
          </cell>
          <cell r="N1447">
            <v>0.73</v>
          </cell>
          <cell r="O1447">
            <v>0.73</v>
          </cell>
        </row>
        <row r="1449">
          <cell r="I1449">
            <v>0.67</v>
          </cell>
          <cell r="M1449">
            <v>0.67</v>
          </cell>
          <cell r="N1449">
            <v>0.67</v>
          </cell>
          <cell r="O1449">
            <v>0.67</v>
          </cell>
        </row>
        <row r="1455">
          <cell r="I1455">
            <v>440.79995499447006</v>
          </cell>
          <cell r="M1455">
            <v>605.08112132838164</v>
          </cell>
          <cell r="N1455">
            <v>302.51864195512087</v>
          </cell>
          <cell r="O1455">
            <v>1355.5642677346455</v>
          </cell>
        </row>
        <row r="1456">
          <cell r="I1456" t="str">
            <v>SBC</v>
          </cell>
          <cell r="M1456" t="str">
            <v>SBC</v>
          </cell>
          <cell r="N1456" t="str">
            <v>SBC</v>
          </cell>
          <cell r="O1456" t="str">
            <v>SBC</v>
          </cell>
        </row>
        <row r="1465">
          <cell r="I1465" t="str">
            <v>Ammonia</v>
          </cell>
          <cell r="M1465" t="str">
            <v>Ammonia</v>
          </cell>
          <cell r="O1465" t="str">
            <v>Ammonia</v>
          </cell>
        </row>
        <row r="1466">
          <cell r="I1466">
            <v>0.6</v>
          </cell>
          <cell r="M1466">
            <v>0.6</v>
          </cell>
          <cell r="O1466">
            <v>0.6</v>
          </cell>
        </row>
        <row r="1468">
          <cell r="I1468">
            <v>116.82</v>
          </cell>
          <cell r="M1468">
            <v>116.82</v>
          </cell>
          <cell r="N1468">
            <v>116.82</v>
          </cell>
          <cell r="O1468">
            <v>116.82</v>
          </cell>
        </row>
      </sheetData>
      <sheetData sheetId="22"/>
      <sheetData sheetId="23"/>
      <sheetData sheetId="24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3398.5039676822794</v>
          </cell>
          <cell r="F914">
            <v>3322.8996935339906</v>
          </cell>
          <cell r="G914">
            <v>3322.8996935339906</v>
          </cell>
          <cell r="H914">
            <v>3393.410731642733</v>
          </cell>
          <cell r="J914">
            <v>3337.7776913961407</v>
          </cell>
          <cell r="K914">
            <v>3202.9549429182944</v>
          </cell>
          <cell r="L914">
            <v>3378.4651760094739</v>
          </cell>
          <cell r="M914">
            <v>3363.6323183458312</v>
          </cell>
          <cell r="N914">
            <v>3363.6323183458312</v>
          </cell>
          <cell r="O914">
            <v>3592.5241335479395</v>
          </cell>
          <cell r="P914">
            <v>3592.5241335479395</v>
          </cell>
          <cell r="Q914">
            <v>3592.5241335479395</v>
          </cell>
          <cell r="R914">
            <v>3398.5039676822794</v>
          </cell>
          <cell r="S914">
            <v>3425.7198009319522</v>
          </cell>
          <cell r="T914">
            <v>3208.1179839098054</v>
          </cell>
        </row>
        <row r="915">
          <cell r="E915">
            <v>3313.5039676822794</v>
          </cell>
          <cell r="F915">
            <v>3237.8996935339906</v>
          </cell>
          <cell r="G915">
            <v>3237.8996935339906</v>
          </cell>
          <cell r="H915">
            <v>3308.410731642733</v>
          </cell>
          <cell r="J915">
            <v>3252.7776913961407</v>
          </cell>
          <cell r="K915">
            <v>3117.9549429182944</v>
          </cell>
          <cell r="L915">
            <v>3293.4651760094739</v>
          </cell>
          <cell r="M915">
            <v>3278.6323183458312</v>
          </cell>
          <cell r="N915">
            <v>3278.6323183458312</v>
          </cell>
          <cell r="O915">
            <v>3507.5241335479395</v>
          </cell>
          <cell r="P915">
            <v>3507.5241335479395</v>
          </cell>
          <cell r="Q915">
            <v>3507.5241335479395</v>
          </cell>
          <cell r="R915">
            <v>3313.5039676822794</v>
          </cell>
          <cell r="S915">
            <v>3340.7198009319522</v>
          </cell>
          <cell r="T915">
            <v>3123.1179839098054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2451.6331522532701</v>
          </cell>
          <cell r="F927">
            <v>2299.3447396958545</v>
          </cell>
          <cell r="G927">
            <v>2760.7264144374567</v>
          </cell>
          <cell r="H927">
            <v>1379.6326949003048</v>
          </cell>
          <cell r="J927">
            <v>2794.6923382396867</v>
          </cell>
          <cell r="K927">
            <v>3722.9078864412627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1861.41458341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5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3398.5089281889309</v>
          </cell>
          <cell r="F914">
            <v>3322.8950446879021</v>
          </cell>
          <cell r="G914">
            <v>3322.8950446879021</v>
          </cell>
          <cell r="H914">
            <v>3393.4128622510025</v>
          </cell>
          <cell r="J914">
            <v>3337.7776913961402</v>
          </cell>
          <cell r="K914">
            <v>3202.9549429182939</v>
          </cell>
          <cell r="L914">
            <v>3378.4704119313706</v>
          </cell>
          <cell r="M914">
            <v>3363.6282951524145</v>
          </cell>
          <cell r="N914">
            <v>3363.6282951524145</v>
          </cell>
          <cell r="O914">
            <v>3599.4861766645586</v>
          </cell>
          <cell r="P914">
            <v>3599.4861766645586</v>
          </cell>
          <cell r="Q914">
            <v>3599.4861766645586</v>
          </cell>
          <cell r="R914">
            <v>3398.5089281889309</v>
          </cell>
          <cell r="S914">
            <v>3436.2896961167407</v>
          </cell>
          <cell r="T914">
            <v>3208.1179839098054</v>
          </cell>
        </row>
        <row r="915">
          <cell r="E915">
            <v>3313.5089281889309</v>
          </cell>
          <cell r="F915">
            <v>3237.8950446879021</v>
          </cell>
          <cell r="G915">
            <v>3237.8950446879021</v>
          </cell>
          <cell r="H915">
            <v>3308.4128622510025</v>
          </cell>
          <cell r="J915">
            <v>3252.7776913961402</v>
          </cell>
          <cell r="K915">
            <v>3117.9549429182939</v>
          </cell>
          <cell r="L915">
            <v>3293.4704119313706</v>
          </cell>
          <cell r="M915">
            <v>3278.6282951524145</v>
          </cell>
          <cell r="N915">
            <v>3278.6282951524145</v>
          </cell>
          <cell r="O915">
            <v>3514.4861766645586</v>
          </cell>
          <cell r="P915">
            <v>3514.4861766645586</v>
          </cell>
          <cell r="Q915">
            <v>3514.4861766645586</v>
          </cell>
          <cell r="R915">
            <v>3313.5089281889309</v>
          </cell>
          <cell r="S915">
            <v>3351.2896961167407</v>
          </cell>
          <cell r="T915">
            <v>3123.1179839098054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2943.4287806518996</v>
          </cell>
          <cell r="F927">
            <v>2760.8702066023257</v>
          </cell>
          <cell r="G927">
            <v>2760.8702066023257</v>
          </cell>
          <cell r="H927">
            <v>1379.6066295807666</v>
          </cell>
          <cell r="J927">
            <v>3723.1663703131871</v>
          </cell>
          <cell r="K927">
            <v>3723.0369943063938</v>
          </cell>
          <cell r="L927">
            <v>0</v>
          </cell>
          <cell r="M927">
            <v>0</v>
          </cell>
          <cell r="N927">
            <v>0</v>
          </cell>
          <cell r="O927">
            <v>1211.7398974242869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1861.41458341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6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3398.5080262413176</v>
          </cell>
          <cell r="F914">
            <v>3322.8950446879021</v>
          </cell>
          <cell r="G914">
            <v>3322.8950446879021</v>
          </cell>
          <cell r="H914">
            <v>3393.4128622510025</v>
          </cell>
          <cell r="J914">
            <v>3337.7776913961407</v>
          </cell>
          <cell r="K914">
            <v>3202.9549429182939</v>
          </cell>
          <cell r="L914">
            <v>3378.4704119313706</v>
          </cell>
          <cell r="M914">
            <v>3363.6282951524145</v>
          </cell>
          <cell r="N914">
            <v>3363.6282951524145</v>
          </cell>
          <cell r="O914">
            <v>3587.7677600666402</v>
          </cell>
          <cell r="P914">
            <v>3587.7677600666402</v>
          </cell>
          <cell r="Q914">
            <v>3587.7677600666402</v>
          </cell>
          <cell r="R914">
            <v>3398.5080262413176</v>
          </cell>
          <cell r="S914">
            <v>3446.2481299323463</v>
          </cell>
          <cell r="T914">
            <v>3218.0254270318615</v>
          </cell>
        </row>
        <row r="915">
          <cell r="E915">
            <v>3313.5080262413176</v>
          </cell>
          <cell r="F915">
            <v>3237.8950446879021</v>
          </cell>
          <cell r="G915">
            <v>3237.8950446879021</v>
          </cell>
          <cell r="H915">
            <v>3308.4128622510025</v>
          </cell>
          <cell r="J915">
            <v>3252.7776913961407</v>
          </cell>
          <cell r="K915">
            <v>3117.9549429182939</v>
          </cell>
          <cell r="L915">
            <v>3293.4704119313706</v>
          </cell>
          <cell r="M915">
            <v>3278.6282951524145</v>
          </cell>
          <cell r="N915">
            <v>3278.6282951524145</v>
          </cell>
          <cell r="O915">
            <v>3502.7677600666402</v>
          </cell>
          <cell r="P915">
            <v>3502.7677600666402</v>
          </cell>
          <cell r="Q915">
            <v>3502.7677600666402</v>
          </cell>
          <cell r="R915">
            <v>3313.5080262413176</v>
          </cell>
          <cell r="S915">
            <v>3361.2481299323463</v>
          </cell>
          <cell r="T915">
            <v>3133.0254270318615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2943.4549476700004</v>
          </cell>
          <cell r="F927">
            <v>2760.8702066023257</v>
          </cell>
          <cell r="G927">
            <v>2760.8702066023257</v>
          </cell>
          <cell r="H927">
            <v>1379.6066295807666</v>
          </cell>
          <cell r="J927">
            <v>3722.896989137917</v>
          </cell>
          <cell r="K927">
            <v>3723.0369943063938</v>
          </cell>
          <cell r="L927">
            <v>3722.8497024571238</v>
          </cell>
          <cell r="M927">
            <v>3722.858479755972</v>
          </cell>
          <cell r="N927">
            <v>2794.6937628853047</v>
          </cell>
          <cell r="O927">
            <v>4914.2379026016606</v>
          </cell>
          <cell r="P927">
            <v>4914.2379026016606</v>
          </cell>
          <cell r="Q927">
            <v>3689.0443433228907</v>
          </cell>
          <cell r="R927">
            <v>5241.7690848917819</v>
          </cell>
          <cell r="S927">
            <v>5589.5668745917437</v>
          </cell>
          <cell r="T927">
            <v>1861.4942233804913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7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3403.3567338476223</v>
          </cell>
          <cell r="F914">
            <v>3321.0004396049203</v>
          </cell>
          <cell r="G914">
            <v>3321.0004396049203</v>
          </cell>
          <cell r="H914">
            <v>3393.4128622510025</v>
          </cell>
          <cell r="J914">
            <v>3337.7776913961407</v>
          </cell>
          <cell r="K914">
            <v>3202.9549429182944</v>
          </cell>
          <cell r="L914">
            <v>3378.4704119313706</v>
          </cell>
          <cell r="M914">
            <v>3363.6246378465489</v>
          </cell>
          <cell r="N914">
            <v>3363.6246378465489</v>
          </cell>
          <cell r="O914">
            <v>3545.412668867812</v>
          </cell>
          <cell r="P914">
            <v>3545.412668867812</v>
          </cell>
          <cell r="Q914">
            <v>3545.412668867812</v>
          </cell>
          <cell r="R914">
            <v>3403.3567338476223</v>
          </cell>
          <cell r="S914">
            <v>3338.9966352092088</v>
          </cell>
          <cell r="T914">
            <v>3218.0254270318615</v>
          </cell>
        </row>
        <row r="915">
          <cell r="E915">
            <v>3318.3567338476223</v>
          </cell>
          <cell r="F915">
            <v>3236.0004396049203</v>
          </cell>
          <cell r="G915">
            <v>3236.0004396049203</v>
          </cell>
          <cell r="H915">
            <v>3308.4128622510025</v>
          </cell>
          <cell r="J915">
            <v>3252.7776913961407</v>
          </cell>
          <cell r="K915">
            <v>3117.9549429182944</v>
          </cell>
          <cell r="L915">
            <v>3293.4704119313706</v>
          </cell>
          <cell r="M915">
            <v>3278.6246378465489</v>
          </cell>
          <cell r="N915">
            <v>3278.6246378465489</v>
          </cell>
          <cell r="O915">
            <v>3460.412668867812</v>
          </cell>
          <cell r="P915">
            <v>3460.412668867812</v>
          </cell>
          <cell r="Q915">
            <v>3460.412668867812</v>
          </cell>
          <cell r="R915">
            <v>3318.3567338476223</v>
          </cell>
          <cell r="S915">
            <v>3253.9966352092088</v>
          </cell>
          <cell r="T915">
            <v>3133.0254270318615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2943.2419037065379</v>
          </cell>
          <cell r="F927">
            <v>2760.9665115990397</v>
          </cell>
          <cell r="G927">
            <v>2760.9665115990397</v>
          </cell>
          <cell r="H927">
            <v>1379.6066295807666</v>
          </cell>
          <cell r="J927">
            <v>3722.896989137917</v>
          </cell>
          <cell r="K927">
            <v>3723.1661021715258</v>
          </cell>
          <cell r="L927">
            <v>3722.8497024571238</v>
          </cell>
          <cell r="M927">
            <v>3722.9233591345424</v>
          </cell>
          <cell r="N927">
            <v>3722.9233591345424</v>
          </cell>
          <cell r="O927">
            <v>4914.3982133750033</v>
          </cell>
          <cell r="P927">
            <v>4914.3982133750033</v>
          </cell>
          <cell r="Q927">
            <v>4914.3982133750033</v>
          </cell>
          <cell r="R927">
            <v>10511.578227523347</v>
          </cell>
          <cell r="S927">
            <v>7445.7985345501256</v>
          </cell>
          <cell r="T927">
            <v>1861.4942233804913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8">
        <row r="913">
          <cell r="E913">
            <v>2688</v>
          </cell>
          <cell r="F913">
            <v>2630</v>
          </cell>
          <cell r="G913">
            <v>2630</v>
          </cell>
          <cell r="H913">
            <v>2455.75</v>
          </cell>
          <cell r="J913">
            <v>2415</v>
          </cell>
          <cell r="K913">
            <v>2415</v>
          </cell>
          <cell r="L913">
            <v>2375</v>
          </cell>
          <cell r="M913">
            <v>2375</v>
          </cell>
          <cell r="N913">
            <v>2375</v>
          </cell>
          <cell r="O913">
            <v>2230</v>
          </cell>
          <cell r="P913">
            <v>2230</v>
          </cell>
          <cell r="Q913">
            <v>2230</v>
          </cell>
          <cell r="R913">
            <v>2688</v>
          </cell>
          <cell r="S913">
            <v>2375</v>
          </cell>
          <cell r="T913">
            <v>2415</v>
          </cell>
        </row>
        <row r="914">
          <cell r="E914">
            <v>3403.3519942495404</v>
          </cell>
          <cell r="F914">
            <v>3321.0004396049203</v>
          </cell>
          <cell r="G914">
            <v>3321.0004396049203</v>
          </cell>
          <cell r="H914">
            <v>3393.4128622510025</v>
          </cell>
          <cell r="J914">
            <v>3337.7776913961402</v>
          </cell>
          <cell r="K914">
            <v>3202.9549429182944</v>
          </cell>
          <cell r="L914">
            <v>3378.4704119313706</v>
          </cell>
          <cell r="M914">
            <v>3363.6246378465489</v>
          </cell>
          <cell r="N914">
            <v>3363.6246378465489</v>
          </cell>
          <cell r="O914">
            <v>3487.0346049376922</v>
          </cell>
          <cell r="P914">
            <v>3487.0346049376922</v>
          </cell>
          <cell r="Q914">
            <v>3487.0346049376922</v>
          </cell>
          <cell r="R914">
            <v>3403.3519942495404</v>
          </cell>
          <cell r="S914">
            <v>3352.6797974090391</v>
          </cell>
          <cell r="T914">
            <v>3218.0254270318615</v>
          </cell>
        </row>
        <row r="915">
          <cell r="E915">
            <v>3318.3519942495404</v>
          </cell>
          <cell r="F915">
            <v>3236.0004396049203</v>
          </cell>
          <cell r="G915">
            <v>3236.0004396049203</v>
          </cell>
          <cell r="H915">
            <v>3308.4128622510025</v>
          </cell>
          <cell r="J915">
            <v>3252.7776913961402</v>
          </cell>
          <cell r="K915">
            <v>3117.9549429182944</v>
          </cell>
          <cell r="L915">
            <v>3293.4704119313706</v>
          </cell>
          <cell r="M915">
            <v>3278.6246378465489</v>
          </cell>
          <cell r="N915">
            <v>3278.6246378465489</v>
          </cell>
          <cell r="O915">
            <v>3402.0346049376922</v>
          </cell>
          <cell r="P915">
            <v>3402.0346049376922</v>
          </cell>
          <cell r="Q915">
            <v>3402.0346049376922</v>
          </cell>
          <cell r="R915">
            <v>3318.3519942495404</v>
          </cell>
          <cell r="S915">
            <v>3267.6797974090391</v>
          </cell>
          <cell r="T915">
            <v>3133.0254270318615</v>
          </cell>
        </row>
        <row r="916">
          <cell r="E916">
            <v>7.4999999999999997E-3</v>
          </cell>
          <cell r="F916">
            <v>7.4999999999999997E-3</v>
          </cell>
          <cell r="G916">
            <v>7.4999999999999997E-3</v>
          </cell>
          <cell r="H916">
            <v>7.4999999999999997E-3</v>
          </cell>
          <cell r="J916">
            <v>1.1299999999999999E-2</v>
          </cell>
          <cell r="K916">
            <v>7.4999999999999997E-3</v>
          </cell>
          <cell r="L916">
            <v>7.4999999999999997E-3</v>
          </cell>
          <cell r="M916">
            <v>7.4999999999999997E-3</v>
          </cell>
          <cell r="N916">
            <v>7.4999999999999997E-3</v>
          </cell>
          <cell r="O916">
            <v>7.4999999999999997E-3</v>
          </cell>
          <cell r="P916">
            <v>7.4999999999999997E-3</v>
          </cell>
          <cell r="Q916">
            <v>7.4999999999999997E-3</v>
          </cell>
          <cell r="R916">
            <v>7.4999999999999997E-3</v>
          </cell>
          <cell r="S916">
            <v>5.0000000000000001E-3</v>
          </cell>
          <cell r="T916">
            <v>7.4999999999999997E-3</v>
          </cell>
        </row>
        <row r="917">
          <cell r="E917">
            <v>0.85</v>
          </cell>
          <cell r="F917">
            <v>0.85</v>
          </cell>
          <cell r="G917">
            <v>0.85</v>
          </cell>
          <cell r="H917">
            <v>0.85</v>
          </cell>
          <cell r="J917">
            <v>0.89</v>
          </cell>
          <cell r="K917">
            <v>0.85</v>
          </cell>
          <cell r="L917">
            <v>0.89</v>
          </cell>
          <cell r="M917">
            <v>0.89</v>
          </cell>
          <cell r="N917">
            <v>0.89</v>
          </cell>
          <cell r="O917">
            <v>0.89</v>
          </cell>
          <cell r="P917">
            <v>0.89</v>
          </cell>
          <cell r="Q917">
            <v>0.89</v>
          </cell>
          <cell r="R917">
            <v>0.89</v>
          </cell>
          <cell r="S917">
            <v>0.89</v>
          </cell>
          <cell r="T917">
            <v>0.85</v>
          </cell>
        </row>
        <row r="918">
          <cell r="E918">
            <v>600</v>
          </cell>
          <cell r="F918">
            <v>600</v>
          </cell>
          <cell r="G918">
            <v>600</v>
          </cell>
          <cell r="H918">
            <v>600</v>
          </cell>
          <cell r="J918">
            <v>600</v>
          </cell>
          <cell r="K918">
            <v>600</v>
          </cell>
          <cell r="L918">
            <v>200</v>
          </cell>
          <cell r="M918">
            <v>200</v>
          </cell>
          <cell r="N918">
            <v>200</v>
          </cell>
          <cell r="O918">
            <v>200</v>
          </cell>
          <cell r="P918">
            <v>200</v>
          </cell>
          <cell r="Q918">
            <v>200</v>
          </cell>
          <cell r="R918">
            <v>200</v>
          </cell>
          <cell r="S918">
            <v>200</v>
          </cell>
          <cell r="T918">
            <v>600</v>
          </cell>
        </row>
        <row r="919">
          <cell r="E919">
            <v>0.73</v>
          </cell>
          <cell r="F919">
            <v>0.73</v>
          </cell>
          <cell r="G919">
            <v>0.73</v>
          </cell>
          <cell r="H919">
            <v>0.73</v>
          </cell>
          <cell r="J919">
            <v>0.73</v>
          </cell>
          <cell r="K919">
            <v>0.73</v>
          </cell>
          <cell r="L919">
            <v>0.95</v>
          </cell>
          <cell r="M919">
            <v>0.95</v>
          </cell>
          <cell r="N919">
            <v>0.95</v>
          </cell>
          <cell r="O919">
            <v>0.95</v>
          </cell>
          <cell r="P919">
            <v>0.95</v>
          </cell>
          <cell r="Q919">
            <v>0.95</v>
          </cell>
          <cell r="R919">
            <v>0.95</v>
          </cell>
          <cell r="S919">
            <v>0.95</v>
          </cell>
          <cell r="T919">
            <v>0.73</v>
          </cell>
        </row>
        <row r="921">
          <cell r="E921">
            <v>0.67</v>
          </cell>
          <cell r="F921">
            <v>0.67</v>
          </cell>
          <cell r="G921">
            <v>0.67</v>
          </cell>
          <cell r="H921">
            <v>0.67</v>
          </cell>
          <cell r="J921">
            <v>0.75</v>
          </cell>
          <cell r="K921">
            <v>0.67</v>
          </cell>
          <cell r="L921">
            <v>0.95</v>
          </cell>
          <cell r="M921">
            <v>0.95</v>
          </cell>
          <cell r="N921">
            <v>0.95</v>
          </cell>
          <cell r="O921">
            <v>0.95</v>
          </cell>
          <cell r="P921">
            <v>0.95</v>
          </cell>
          <cell r="Q921">
            <v>0.95</v>
          </cell>
          <cell r="R921">
            <v>0.95</v>
          </cell>
          <cell r="S921">
            <v>0.95</v>
          </cell>
          <cell r="T921">
            <v>0.67</v>
          </cell>
        </row>
        <row r="927">
          <cell r="E927">
            <v>2943.3911563146808</v>
          </cell>
          <cell r="F927">
            <v>2760.9665115990397</v>
          </cell>
          <cell r="G927">
            <v>2760.9665115990397</v>
          </cell>
          <cell r="H927">
            <v>1379.6066295807666</v>
          </cell>
          <cell r="J927">
            <v>3723.0316797255523</v>
          </cell>
          <cell r="K927">
            <v>3722.9078864412627</v>
          </cell>
          <cell r="L927">
            <v>3722.8497024571238</v>
          </cell>
          <cell r="M927">
            <v>3722.9233591345424</v>
          </cell>
          <cell r="N927">
            <v>3722.9233591345424</v>
          </cell>
          <cell r="O927">
            <v>4914.3777583752089</v>
          </cell>
          <cell r="P927">
            <v>4914.3777583752089</v>
          </cell>
          <cell r="Q927">
            <v>4914.3777583752089</v>
          </cell>
          <cell r="R927">
            <v>10512.111272552431</v>
          </cell>
          <cell r="S927">
            <v>7446.2986319878037</v>
          </cell>
          <cell r="T927">
            <v>1861.4942233804913</v>
          </cell>
        </row>
        <row r="928">
          <cell r="E928" t="str">
            <v>SBC</v>
          </cell>
          <cell r="F928" t="str">
            <v>SBC</v>
          </cell>
          <cell r="G928" t="str">
            <v>SBC</v>
          </cell>
          <cell r="H928" t="str">
            <v>SBC</v>
          </cell>
          <cell r="J928" t="str">
            <v>Limestone</v>
          </cell>
          <cell r="K928" t="str">
            <v>SBC</v>
          </cell>
          <cell r="L928" t="str">
            <v>Limestone</v>
          </cell>
          <cell r="M928" t="str">
            <v>Limestone</v>
          </cell>
          <cell r="N928" t="str">
            <v>Limestone</v>
          </cell>
          <cell r="O928" t="str">
            <v>Limestone</v>
          </cell>
          <cell r="P928" t="str">
            <v>Limestone</v>
          </cell>
          <cell r="Q928" t="str">
            <v>Limestone</v>
          </cell>
          <cell r="R928" t="str">
            <v>Limestone</v>
          </cell>
          <cell r="S928" t="str">
            <v>Limestone</v>
          </cell>
          <cell r="T928" t="str">
            <v>SBC</v>
          </cell>
        </row>
        <row r="937">
          <cell r="E937" t="str">
            <v>Ammonia</v>
          </cell>
          <cell r="F937" t="str">
            <v>Ammonia</v>
          </cell>
          <cell r="G937" t="str">
            <v>Ammonia</v>
          </cell>
          <cell r="H937" t="str">
            <v>Ammonia</v>
          </cell>
          <cell r="J937" t="str">
            <v>Ammonia</v>
          </cell>
          <cell r="K937" t="str">
            <v>Ammonia</v>
          </cell>
          <cell r="L937" t="str">
            <v>Ammonia</v>
          </cell>
          <cell r="M937" t="str">
            <v>Ammonia</v>
          </cell>
          <cell r="N937" t="str">
            <v>Ammonia</v>
          </cell>
          <cell r="O937" t="str">
            <v>Ammonia</v>
          </cell>
          <cell r="P937" t="str">
            <v>Ammonia</v>
          </cell>
          <cell r="Q937" t="str">
            <v>Ammonia</v>
          </cell>
          <cell r="R937" t="str">
            <v>Ammonia</v>
          </cell>
          <cell r="S937" t="str">
            <v>Ammonia</v>
          </cell>
          <cell r="T937" t="str">
            <v>Ammonia</v>
          </cell>
        </row>
        <row r="938">
          <cell r="E938">
            <v>0.6</v>
          </cell>
          <cell r="F938">
            <v>0.6</v>
          </cell>
          <cell r="G938">
            <v>0.6</v>
          </cell>
          <cell r="H938">
            <v>0.6</v>
          </cell>
          <cell r="J938">
            <v>0.6</v>
          </cell>
          <cell r="K938">
            <v>0.6</v>
          </cell>
          <cell r="L938">
            <v>0.6</v>
          </cell>
          <cell r="M938">
            <v>0.6</v>
          </cell>
          <cell r="N938">
            <v>0.6</v>
          </cell>
          <cell r="O938">
            <v>0.6</v>
          </cell>
          <cell r="P938">
            <v>0.6</v>
          </cell>
          <cell r="Q938">
            <v>0.6</v>
          </cell>
          <cell r="R938">
            <v>0.6</v>
          </cell>
          <cell r="S938">
            <v>0.6</v>
          </cell>
          <cell r="T938">
            <v>0.6</v>
          </cell>
        </row>
        <row r="940">
          <cell r="E940">
            <v>116.82</v>
          </cell>
          <cell r="F940">
            <v>116.82</v>
          </cell>
          <cell r="G940">
            <v>116.82</v>
          </cell>
          <cell r="H940">
            <v>116.82</v>
          </cell>
          <cell r="J940">
            <v>116.82</v>
          </cell>
          <cell r="K940">
            <v>116.82</v>
          </cell>
          <cell r="L940">
            <v>116.82</v>
          </cell>
          <cell r="M940">
            <v>116.82</v>
          </cell>
          <cell r="N940">
            <v>116.82</v>
          </cell>
          <cell r="O940">
            <v>116.82</v>
          </cell>
          <cell r="P940">
            <v>116.82</v>
          </cell>
          <cell r="Q940">
            <v>116.82</v>
          </cell>
          <cell r="R940">
            <v>116.82</v>
          </cell>
          <cell r="S940">
            <v>116.82</v>
          </cell>
          <cell r="T940">
            <v>116.82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3"/>
      <sheetName val="F9.2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 refreshError="1"/>
      <sheetData sheetId="1">
        <row r="3">
          <cell r="D3">
            <v>0.8</v>
          </cell>
        </row>
      </sheetData>
      <sheetData sheetId="2">
        <row r="11">
          <cell r="M11">
            <v>582.79231583937337</v>
          </cell>
          <cell r="S11">
            <v>704.28227154619367</v>
          </cell>
          <cell r="T11">
            <v>739.46925716763462</v>
          </cell>
          <cell r="U11">
            <v>776.44272002601656</v>
          </cell>
          <cell r="V11">
            <v>815.26485602731748</v>
          </cell>
          <cell r="W11">
            <v>856.02809882868326</v>
          </cell>
        </row>
      </sheetData>
      <sheetData sheetId="3" refreshError="1"/>
      <sheetData sheetId="4">
        <row r="15">
          <cell r="M15">
            <v>0.8</v>
          </cell>
        </row>
      </sheetData>
      <sheetData sheetId="5">
        <row r="12">
          <cell r="F12">
            <v>0.8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F10">
            <v>105.24660807906189</v>
          </cell>
        </row>
      </sheetData>
      <sheetData sheetId="13">
        <row r="27">
          <cell r="E27">
            <v>13.852178556644459</v>
          </cell>
        </row>
      </sheetData>
      <sheetData sheetId="14" refreshError="1"/>
      <sheetData sheetId="15" refreshError="1"/>
      <sheetData sheetId="16" refreshError="1"/>
      <sheetData sheetId="17">
        <row r="12">
          <cell r="D12">
            <v>0</v>
          </cell>
        </row>
      </sheetData>
      <sheetData sheetId="18" refreshError="1"/>
      <sheetData sheetId="19" refreshError="1"/>
      <sheetData sheetId="20" refreshError="1"/>
      <sheetData sheetId="21">
        <row r="31">
          <cell r="E31">
            <v>0.26236300800000001</v>
          </cell>
        </row>
      </sheetData>
      <sheetData sheetId="22" refreshError="1"/>
      <sheetData sheetId="23" refreshError="1"/>
      <sheetData sheetId="24">
        <row r="23">
          <cell r="D23">
            <v>0</v>
          </cell>
        </row>
      </sheetData>
      <sheetData sheetId="25" refreshError="1"/>
      <sheetData sheetId="26" refreshError="1"/>
      <sheetData sheetId="27">
        <row r="13">
          <cell r="N13">
            <v>419.30518293839998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0">
          <cell r="D10">
            <v>319.04472347806734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E)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 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0.8</v>
          </cell>
        </row>
      </sheetData>
      <sheetData sheetId="2">
        <row r="11">
          <cell r="S11">
            <v>5423.0669109938754</v>
          </cell>
          <cell r="T11">
            <v>5657.0112347687882</v>
          </cell>
          <cell r="U11">
            <v>5902.9622452150134</v>
          </cell>
          <cell r="V11">
            <v>6133.2995832907282</v>
          </cell>
          <cell r="W11">
            <v>6403.4787749965089</v>
          </cell>
        </row>
      </sheetData>
      <sheetData sheetId="3"/>
      <sheetData sheetId="4">
        <row r="15">
          <cell r="M15">
            <v>0.8</v>
          </cell>
        </row>
      </sheetData>
      <sheetData sheetId="5">
        <row r="12">
          <cell r="F12">
            <v>0.8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632.73565248250213</v>
          </cell>
        </row>
      </sheetData>
      <sheetData sheetId="13">
        <row r="27">
          <cell r="E27">
            <v>16.4128319</v>
          </cell>
        </row>
      </sheetData>
      <sheetData sheetId="14"/>
      <sheetData sheetId="15"/>
      <sheetData sheetId="16"/>
      <sheetData sheetId="17">
        <row r="12">
          <cell r="D12">
            <v>199.16859312299999</v>
          </cell>
        </row>
      </sheetData>
      <sheetData sheetId="18"/>
      <sheetData sheetId="19"/>
      <sheetData sheetId="20"/>
      <sheetData sheetId="21">
        <row r="31">
          <cell r="E31">
            <v>117.32257103399998</v>
          </cell>
        </row>
      </sheetData>
      <sheetData sheetId="22"/>
      <sheetData sheetId="23"/>
      <sheetData sheetId="24"/>
      <sheetData sheetId="25">
        <row r="23">
          <cell r="D23">
            <v>59.585115400860225</v>
          </cell>
        </row>
      </sheetData>
      <sheetData sheetId="26"/>
      <sheetData sheetId="27"/>
      <sheetData sheetId="28">
        <row r="13">
          <cell r="N13">
            <v>3798.3835536134006</v>
          </cell>
        </row>
      </sheetData>
      <sheetData sheetId="29"/>
      <sheetData sheetId="30"/>
      <sheetData sheetId="31"/>
      <sheetData sheetId="32"/>
      <sheetData sheetId="33"/>
      <sheetData sheetId="34"/>
      <sheetData sheetId="35">
        <row r="10">
          <cell r="D10">
            <v>3455.0532976102827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 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0.85</v>
          </cell>
        </row>
      </sheetData>
      <sheetData sheetId="2">
        <row r="11">
          <cell r="S11">
            <v>1922.4969135333408</v>
          </cell>
          <cell r="T11">
            <v>2002.1992808885495</v>
          </cell>
          <cell r="U11">
            <v>2085.7997804938859</v>
          </cell>
          <cell r="V11">
            <v>2140.8176085455648</v>
          </cell>
          <cell r="W11">
            <v>2231.3490245337525</v>
          </cell>
        </row>
      </sheetData>
      <sheetData sheetId="3"/>
      <sheetData sheetId="4">
        <row r="15">
          <cell r="M15">
            <v>0.8</v>
          </cell>
        </row>
      </sheetData>
      <sheetData sheetId="5">
        <row r="12">
          <cell r="F12">
            <v>0.85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297.60885770498163</v>
          </cell>
        </row>
      </sheetData>
      <sheetData sheetId="13">
        <row r="27">
          <cell r="E27">
            <v>85.993504099999996</v>
          </cell>
        </row>
      </sheetData>
      <sheetData sheetId="14"/>
      <sheetData sheetId="15"/>
      <sheetData sheetId="16"/>
      <sheetData sheetId="17">
        <row r="12">
          <cell r="D12">
            <v>45.77</v>
          </cell>
        </row>
      </sheetData>
      <sheetData sheetId="18"/>
      <sheetData sheetId="19"/>
      <sheetData sheetId="20"/>
      <sheetData sheetId="21">
        <row r="31">
          <cell r="E31">
            <v>43.164271816000003</v>
          </cell>
        </row>
      </sheetData>
      <sheetData sheetId="22"/>
      <sheetData sheetId="23"/>
      <sheetData sheetId="24">
        <row r="23">
          <cell r="D23">
            <v>5.3004856264377658</v>
          </cell>
        </row>
      </sheetData>
      <sheetData sheetId="25"/>
      <sheetData sheetId="26"/>
      <sheetData sheetId="27">
        <row r="13">
          <cell r="N13">
            <v>2013.3423174795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1519.6588778171606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0.72</v>
          </cell>
        </row>
      </sheetData>
      <sheetData sheetId="2">
        <row r="11">
          <cell r="S11">
            <v>401.47556022815291</v>
          </cell>
          <cell r="T11">
            <v>416.82011901191703</v>
          </cell>
          <cell r="U11">
            <v>432.93830659722016</v>
          </cell>
          <cell r="V11">
            <v>489.7179425584398</v>
          </cell>
          <cell r="W11">
            <v>509.48102132106908</v>
          </cell>
        </row>
      </sheetData>
      <sheetData sheetId="3"/>
      <sheetData sheetId="4">
        <row r="15">
          <cell r="M15">
            <v>0.72</v>
          </cell>
        </row>
      </sheetData>
      <sheetData sheetId="5">
        <row r="12">
          <cell r="F12">
            <v>0.72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130.74045876592714</v>
          </cell>
        </row>
      </sheetData>
      <sheetData sheetId="13">
        <row r="27">
          <cell r="E27">
            <v>35.575293799999997</v>
          </cell>
        </row>
      </sheetData>
      <sheetData sheetId="14"/>
      <sheetData sheetId="15"/>
      <sheetData sheetId="16"/>
      <sheetData sheetId="17">
        <row r="12">
          <cell r="D12">
            <v>48.269099999999995</v>
          </cell>
        </row>
      </sheetData>
      <sheetData sheetId="18"/>
      <sheetData sheetId="19"/>
      <sheetData sheetId="20"/>
      <sheetData sheetId="21">
        <row r="31">
          <cell r="E31">
            <v>41.851930489000004</v>
          </cell>
        </row>
      </sheetData>
      <sheetData sheetId="22"/>
      <sheetData sheetId="23"/>
      <sheetData sheetId="24">
        <row r="23">
          <cell r="D23">
            <v>18.598410067677698</v>
          </cell>
        </row>
      </sheetData>
      <sheetData sheetId="25"/>
      <sheetData sheetId="26"/>
      <sheetData sheetId="27">
        <row r="13">
          <cell r="N13">
            <v>537.05434381079999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370.93616773844531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0.8</v>
          </cell>
        </row>
      </sheetData>
      <sheetData sheetId="2">
        <row r="11">
          <cell r="S11">
            <v>2146.6681029820447</v>
          </cell>
          <cell r="T11">
            <v>2231.1549012913961</v>
          </cell>
          <cell r="U11">
            <v>2319.9211286674586</v>
          </cell>
          <cell r="V11">
            <v>2412.9548910434728</v>
          </cell>
          <cell r="W11">
            <v>2510.6952929666513</v>
          </cell>
        </row>
      </sheetData>
      <sheetData sheetId="3"/>
      <sheetData sheetId="4">
        <row r="15">
          <cell r="M15">
            <v>0.8</v>
          </cell>
        </row>
      </sheetData>
      <sheetData sheetId="5">
        <row r="12">
          <cell r="F12">
            <v>0.8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294.17680305713532</v>
          </cell>
        </row>
      </sheetData>
      <sheetData sheetId="13">
        <row r="27">
          <cell r="E27">
            <v>29.090133234</v>
          </cell>
        </row>
      </sheetData>
      <sheetData sheetId="14"/>
      <sheetData sheetId="15"/>
      <sheetData sheetId="16"/>
      <sheetData sheetId="17">
        <row r="12">
          <cell r="D12">
            <v>6.19</v>
          </cell>
        </row>
      </sheetData>
      <sheetData sheetId="18"/>
      <sheetData sheetId="19"/>
      <sheetData sheetId="20"/>
      <sheetData sheetId="21">
        <row r="31">
          <cell r="E31">
            <v>6.9244721999999994</v>
          </cell>
        </row>
      </sheetData>
      <sheetData sheetId="22"/>
      <sheetData sheetId="23"/>
      <sheetData sheetId="24">
        <row r="23">
          <cell r="D23">
            <v>3.2392096121557099</v>
          </cell>
        </row>
      </sheetData>
      <sheetData sheetId="25"/>
      <sheetData sheetId="26"/>
      <sheetData sheetId="27">
        <row r="13">
          <cell r="N13">
            <v>1492.9387272584004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1159.6184457510976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 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0.26179000000000002</v>
          </cell>
        </row>
      </sheetData>
      <sheetData sheetId="2">
        <row r="11">
          <cell r="S11">
            <v>1220.4112160553632</v>
          </cell>
          <cell r="T11">
            <v>1220.4112160553632</v>
          </cell>
          <cell r="U11">
            <v>1223.7553195847752</v>
          </cell>
          <cell r="V11">
            <v>1220.4112160553632</v>
          </cell>
          <cell r="W11">
            <v>1220.4112160553632</v>
          </cell>
        </row>
      </sheetData>
      <sheetData sheetId="3"/>
      <sheetData sheetId="4">
        <row r="48">
          <cell r="E48">
            <v>1516.4657499999998</v>
          </cell>
        </row>
      </sheetData>
      <sheetData sheetId="5">
        <row r="12">
          <cell r="F12">
            <v>0.85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98.822425080658277</v>
          </cell>
        </row>
      </sheetData>
      <sheetData sheetId="13">
        <row r="27">
          <cell r="E27">
            <v>1.067361174</v>
          </cell>
        </row>
      </sheetData>
      <sheetData sheetId="14"/>
      <sheetData sheetId="15"/>
      <sheetData sheetId="16"/>
      <sheetData sheetId="17">
        <row r="12">
          <cell r="D12">
            <v>34.549999999999997</v>
          </cell>
        </row>
      </sheetData>
      <sheetData sheetId="18"/>
      <sheetData sheetId="19"/>
      <sheetData sheetId="20"/>
      <sheetData sheetId="21">
        <row r="31">
          <cell r="E31">
            <v>17.402124098000002</v>
          </cell>
        </row>
      </sheetData>
      <sheetData sheetId="22"/>
      <sheetData sheetId="23"/>
      <sheetData sheetId="24">
        <row r="23">
          <cell r="D23">
            <v>9.3499190545780486</v>
          </cell>
        </row>
      </sheetData>
      <sheetData sheetId="25"/>
      <sheetData sheetId="26"/>
      <sheetData sheetId="27">
        <row r="13">
          <cell r="N13">
            <v>997.33299762499996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884.59203425401836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FC Reduction and AEC loss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2.8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">
          <cell r="D3">
            <v>0.85</v>
          </cell>
        </row>
      </sheetData>
      <sheetData sheetId="2">
        <row r="11">
          <cell r="S11">
            <v>1316.9535782851794</v>
          </cell>
          <cell r="T11">
            <v>1382.9156011667717</v>
          </cell>
          <cell r="U11">
            <v>1451.9569802114584</v>
          </cell>
          <cell r="V11">
            <v>1524.5548292220319</v>
          </cell>
          <cell r="W11">
            <v>1600.8401217419084</v>
          </cell>
        </row>
      </sheetData>
      <sheetData sheetId="3"/>
      <sheetData sheetId="4">
        <row r="15">
          <cell r="M15">
            <v>0.85</v>
          </cell>
        </row>
      </sheetData>
      <sheetData sheetId="5">
        <row r="12">
          <cell r="F12">
            <v>0.85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159.96892053632357</v>
          </cell>
        </row>
      </sheetData>
      <sheetData sheetId="13">
        <row r="27">
          <cell r="E27">
            <v>6.5496572270000017</v>
          </cell>
        </row>
      </sheetData>
      <sheetData sheetId="14"/>
      <sheetData sheetId="15"/>
      <sheetData sheetId="16"/>
      <sheetData sheetId="17">
        <row r="12">
          <cell r="D12">
            <v>82.562637080000016</v>
          </cell>
        </row>
      </sheetData>
      <sheetData sheetId="18"/>
      <sheetData sheetId="19"/>
      <sheetData sheetId="20"/>
      <sheetData sheetId="21">
        <row r="31">
          <cell r="E31">
            <v>78.578198850999982</v>
          </cell>
        </row>
      </sheetData>
      <sheetData sheetId="22"/>
      <sheetData sheetId="23"/>
      <sheetData sheetId="24">
        <row r="23">
          <cell r="D23">
            <v>29.031992961948578</v>
          </cell>
        </row>
      </sheetData>
      <sheetData sheetId="25"/>
      <sheetData sheetId="26"/>
      <sheetData sheetId="27">
        <row r="13">
          <cell r="N13">
            <v>1328.7779276450001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1008.4649894881248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C478-E2A1-40DB-8D0F-D09D7F1FF73B}">
  <dimension ref="B2:H17"/>
  <sheetViews>
    <sheetView showGridLines="0" workbookViewId="0">
      <selection activeCell="D15" sqref="D15"/>
    </sheetView>
  </sheetViews>
  <sheetFormatPr defaultRowHeight="14.5" x14ac:dyDescent="0.35"/>
  <cols>
    <col min="2" max="2" width="27.08984375" customWidth="1"/>
  </cols>
  <sheetData>
    <row r="2" spans="2:8" x14ac:dyDescent="0.35">
      <c r="B2" s="37" t="s">
        <v>66</v>
      </c>
      <c r="H2" s="3" t="s">
        <v>62</v>
      </c>
    </row>
    <row r="3" spans="2:8" x14ac:dyDescent="0.35">
      <c r="B3" s="38" t="s">
        <v>1</v>
      </c>
      <c r="C3" s="39" t="s">
        <v>54</v>
      </c>
      <c r="D3" s="39" t="s">
        <v>55</v>
      </c>
      <c r="E3" s="39" t="s">
        <v>56</v>
      </c>
      <c r="F3" s="39" t="s">
        <v>57</v>
      </c>
      <c r="G3" s="39" t="s">
        <v>58</v>
      </c>
      <c r="H3" s="39" t="s">
        <v>59</v>
      </c>
    </row>
    <row r="4" spans="2:8" x14ac:dyDescent="0.35">
      <c r="B4" s="26" t="s">
        <v>42</v>
      </c>
      <c r="C4" s="28"/>
      <c r="D4" s="28"/>
      <c r="E4" s="28"/>
      <c r="F4" s="28"/>
      <c r="G4" s="28"/>
      <c r="H4" s="28"/>
    </row>
    <row r="5" spans="2:8" x14ac:dyDescent="0.35">
      <c r="B5" s="26" t="s">
        <v>43</v>
      </c>
      <c r="C5" s="28"/>
      <c r="D5" s="31">
        <f>'25-26'!$C$34+'25-26'!$O$34</f>
        <v>155.40616957061161</v>
      </c>
      <c r="E5" s="31">
        <f>'26-27'!$C$34+'26-27'!$O$34</f>
        <v>186.5805215533945</v>
      </c>
      <c r="F5" s="31">
        <f>'27-28'!$C$34+'27-28'!$O$34</f>
        <v>221.23567851470352</v>
      </c>
      <c r="G5" s="31">
        <f>'28-29'!$C$34+'28-29'!$O$34</f>
        <v>255.95961284421389</v>
      </c>
      <c r="H5" s="31">
        <f>'29-30'!$C$34+'29-30'!$O$34</f>
        <v>255.97269163750519</v>
      </c>
    </row>
    <row r="6" spans="2:8" x14ac:dyDescent="0.35">
      <c r="B6" s="26" t="s">
        <v>44</v>
      </c>
      <c r="C6" s="31">
        <f>'24-25'!$C$34</f>
        <v>85.927639810961963</v>
      </c>
      <c r="D6" s="31">
        <f>SUM('25-26'!$D$34:$E$34)</f>
        <v>320.75201589432777</v>
      </c>
      <c r="E6" s="31">
        <f>SUM('26-27'!$D$34:$E$34)</f>
        <v>350.01669242019301</v>
      </c>
      <c r="F6" s="31">
        <f>SUM('27-28'!$D$34:$E$34)</f>
        <v>350.01669242019301</v>
      </c>
      <c r="G6" s="31">
        <f>SUM('28-29'!$D$34:$E$34)</f>
        <v>350.02890174330167</v>
      </c>
      <c r="H6" s="31">
        <f>SUM('29-30'!$D$34:$E$34)</f>
        <v>350.02890174330167</v>
      </c>
    </row>
    <row r="7" spans="2:8" x14ac:dyDescent="0.35">
      <c r="B7" s="29" t="s">
        <v>45</v>
      </c>
      <c r="C7" s="31">
        <f>'24-25'!$D$34</f>
        <v>27.941795651453063</v>
      </c>
      <c r="D7" s="31">
        <f>'25-26'!$F$34</f>
        <v>87.453309371257575</v>
      </c>
      <c r="E7" s="31">
        <f>'26-27'!$F$34</f>
        <v>87.451657121015998</v>
      </c>
      <c r="F7" s="31">
        <f>'27-28'!$F$34</f>
        <v>87.451657121015998</v>
      </c>
      <c r="G7" s="31">
        <f>'28-29'!$F$34</f>
        <v>87.451657121015998</v>
      </c>
      <c r="H7" s="31">
        <f>'29-30'!$F$34</f>
        <v>87.451657121015998</v>
      </c>
    </row>
    <row r="8" spans="2:8" x14ac:dyDescent="0.35">
      <c r="B8" s="26" t="s">
        <v>46</v>
      </c>
      <c r="C8" s="28"/>
      <c r="D8" s="28"/>
      <c r="E8" s="28"/>
      <c r="F8" s="28"/>
      <c r="G8" s="28"/>
      <c r="H8" s="28"/>
    </row>
    <row r="9" spans="2:8" x14ac:dyDescent="0.35">
      <c r="B9" s="27" t="s">
        <v>47</v>
      </c>
      <c r="C9" s="28"/>
      <c r="D9" s="31">
        <f>'25-26'!$G$34</f>
        <v>19.92685988078312</v>
      </c>
      <c r="E9" s="31">
        <f>'26-27'!$G$34</f>
        <v>26.547113454644524</v>
      </c>
      <c r="F9" s="31">
        <f>'27-28'!$G$34</f>
        <v>26.545192699053409</v>
      </c>
      <c r="G9" s="31">
        <f>'28-29'!$G$34</f>
        <v>26.545192699053409</v>
      </c>
      <c r="H9" s="31">
        <f>'29-30'!$G$34</f>
        <v>26.54615307684897</v>
      </c>
    </row>
    <row r="10" spans="2:8" x14ac:dyDescent="0.35">
      <c r="B10" s="26" t="s">
        <v>48</v>
      </c>
      <c r="C10" s="31">
        <f>'24-25'!$E$34</f>
        <v>38.355387411329978</v>
      </c>
      <c r="D10" s="31">
        <f>'25-26'!$H$34</f>
        <v>235.99079404041632</v>
      </c>
      <c r="E10" s="31">
        <f>'26-27'!$H$34</f>
        <v>235.99897803758697</v>
      </c>
      <c r="F10" s="31">
        <f>'27-28'!$H$34</f>
        <v>235.99897803758697</v>
      </c>
      <c r="G10" s="31">
        <f>'28-29'!$H$34</f>
        <v>236.00716203475767</v>
      </c>
      <c r="H10" s="31">
        <f>'29-30'!$H$34</f>
        <v>235.99079404041632</v>
      </c>
    </row>
    <row r="11" spans="2:8" x14ac:dyDescent="0.35">
      <c r="B11" s="26" t="s">
        <v>49</v>
      </c>
      <c r="C11" s="28"/>
      <c r="D11" s="31">
        <f>'25-26'!$I$34</f>
        <v>0</v>
      </c>
      <c r="E11" s="31">
        <f>'26-27'!$I$34</f>
        <v>0</v>
      </c>
      <c r="F11" s="31">
        <f>'27-28'!$I$34</f>
        <v>21.881185056135898</v>
      </c>
      <c r="G11" s="31">
        <f>'28-29'!$I$34</f>
        <v>21.881185056135898</v>
      </c>
      <c r="H11" s="31">
        <f>'29-30'!$I$34</f>
        <v>21.881185056135898</v>
      </c>
    </row>
    <row r="12" spans="2:8" x14ac:dyDescent="0.35">
      <c r="B12" s="26" t="s">
        <v>50</v>
      </c>
      <c r="C12" s="28"/>
      <c r="D12" s="31">
        <f>SUM('25-26'!$J$34:$K$34)</f>
        <v>0</v>
      </c>
      <c r="E12" s="31">
        <f>SUM('26-27'!$J$34:$K$34)</f>
        <v>0</v>
      </c>
      <c r="F12" s="31">
        <f>SUM('27-28'!$J$34:$K$34)</f>
        <v>38.480358219773102</v>
      </c>
      <c r="G12" s="31">
        <f>SUM('28-29'!$J$34:$K$34)</f>
        <v>43.961161726684018</v>
      </c>
      <c r="H12" s="31">
        <f>SUM('29-30'!$J$34:$K$34)</f>
        <v>43.961161726684018</v>
      </c>
    </row>
    <row r="13" spans="2:8" x14ac:dyDescent="0.35">
      <c r="B13" s="26" t="s">
        <v>51</v>
      </c>
      <c r="C13" s="28"/>
      <c r="D13" s="31">
        <f>SUM('25-26'!$L$34:$N$34)</f>
        <v>0</v>
      </c>
      <c r="E13" s="31">
        <f>SUM('26-27'!$L$34:$N$34)</f>
        <v>6.2677058302533126</v>
      </c>
      <c r="F13" s="31">
        <f>SUM('27-28'!$L$34:$N$34)</f>
        <v>70.152759098516071</v>
      </c>
      <c r="G13" s="31">
        <f>SUM('28-29'!$L$34:$N$34)</f>
        <v>77.44897739025258</v>
      </c>
      <c r="H13" s="31">
        <f>SUM('29-30'!$L$34:$N$34)</f>
        <v>78.77588135282133</v>
      </c>
    </row>
    <row r="14" spans="2:8" x14ac:dyDescent="0.35">
      <c r="B14" s="26" t="s">
        <v>52</v>
      </c>
      <c r="C14" s="28"/>
      <c r="D14" s="31">
        <f>'25-26'!$P$34</f>
        <v>0</v>
      </c>
      <c r="E14" s="31">
        <f>'26-27'!$P$34</f>
        <v>0</v>
      </c>
      <c r="F14" s="31">
        <f>'27-28'!$P$34</f>
        <v>21.473868195935328</v>
      </c>
      <c r="G14" s="31">
        <f>'28-29'!$P$34</f>
        <v>29.546197625482346</v>
      </c>
      <c r="H14" s="31">
        <f>'29-30'!$P$34</f>
        <v>29.424669870446461</v>
      </c>
    </row>
    <row r="15" spans="2:8" x14ac:dyDescent="0.35">
      <c r="B15" s="27" t="s">
        <v>53</v>
      </c>
      <c r="C15" s="31">
        <f>'24-25'!$F$34</f>
        <v>19.176304304230534</v>
      </c>
      <c r="D15" s="31">
        <f>'25-26'!$Q$34</f>
        <v>117.99290204766319</v>
      </c>
      <c r="E15" s="31">
        <f>'26-27'!$Q$34</f>
        <v>117.99290204766319</v>
      </c>
      <c r="F15" s="31">
        <f>'27-28'!$Q$34</f>
        <v>117.99795033261863</v>
      </c>
      <c r="G15" s="31">
        <f>'28-29'!$Q$34</f>
        <v>117.99795033261863</v>
      </c>
      <c r="H15" s="31">
        <f>'29-30'!$Q$34</f>
        <v>117.99795033261863</v>
      </c>
    </row>
    <row r="16" spans="2:8" x14ac:dyDescent="0.35">
      <c r="B16" s="30" t="s">
        <v>60</v>
      </c>
      <c r="C16" s="13">
        <f>SUM(C4:C15)</f>
        <v>171.40112717797555</v>
      </c>
      <c r="D16" s="13">
        <f t="shared" ref="D16" si="0">SUM(D4:D15)</f>
        <v>937.52205080505951</v>
      </c>
      <c r="E16" s="13">
        <f t="shared" ref="E16" si="1">SUM(E4:E15)</f>
        <v>1010.8555704647515</v>
      </c>
      <c r="F16" s="13">
        <f t="shared" ref="F16" si="2">SUM(F4:F15)</f>
        <v>1191.2343196955319</v>
      </c>
      <c r="G16" s="13">
        <f t="shared" ref="G16" si="3">SUM(G4:G15)</f>
        <v>1246.827998573516</v>
      </c>
      <c r="H16" s="13">
        <f t="shared" ref="H16" si="4">SUM(H4:H15)</f>
        <v>1248.0310459577945</v>
      </c>
    </row>
    <row r="17" spans="4:8" x14ac:dyDescent="0.35">
      <c r="D17" s="32">
        <f>SUM('25-26'!$C$34:$Q$34)-D16</f>
        <v>0</v>
      </c>
      <c r="E17" s="32">
        <f>SUM('26-27'!$C$34:$Q$34)-E16</f>
        <v>0</v>
      </c>
      <c r="F17" s="32">
        <f>SUM('27-28'!$C$34:$Q$34)-F16</f>
        <v>0</v>
      </c>
      <c r="G17" s="32">
        <f>SUM('28-29'!$C$34:$Q$34)-G16</f>
        <v>0</v>
      </c>
      <c r="H17" s="32">
        <f>SUM('29-30'!$C$34:$Q$34)-H16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1B7F-F0E0-4DC4-AEC8-F144A3E5B4DF}">
  <dimension ref="B2:AG18"/>
  <sheetViews>
    <sheetView showGridLines="0" tabSelected="1" zoomScale="71" workbookViewId="0">
      <pane xSplit="2" ySplit="3" topLeftCell="G4" activePane="bottomRight" state="frozen"/>
      <selection pane="topRight" activeCell="C1" sqref="C1"/>
      <selection pane="bottomLeft" activeCell="A4" sqref="A4"/>
      <selection pane="bottomRight" activeCell="A16" sqref="A16"/>
    </sheetView>
  </sheetViews>
  <sheetFormatPr defaultRowHeight="14.5" x14ac:dyDescent="0.35"/>
  <cols>
    <col min="1" max="1" width="3.1796875" customWidth="1"/>
    <col min="2" max="2" width="18.81640625" customWidth="1"/>
    <col min="3" max="7" width="9.81640625" bestFit="1" customWidth="1"/>
    <col min="8" max="8" width="1.90625" customWidth="1"/>
    <col min="9" max="9" width="18.26953125" bestFit="1" customWidth="1"/>
    <col min="11" max="14" width="9.08984375" bestFit="1" customWidth="1"/>
    <col min="15" max="15" width="1.81640625" customWidth="1"/>
    <col min="16" max="16" width="21.26953125" customWidth="1"/>
    <col min="17" max="21" width="9.81640625" bestFit="1" customWidth="1"/>
    <col min="22" max="22" width="2" customWidth="1"/>
    <col min="23" max="27" width="10.08984375" bestFit="1" customWidth="1"/>
    <col min="29" max="33" width="9.81640625" bestFit="1" customWidth="1"/>
  </cols>
  <sheetData>
    <row r="2" spans="2:33" x14ac:dyDescent="0.35">
      <c r="B2" s="3" t="s">
        <v>70</v>
      </c>
      <c r="I2" s="3" t="s">
        <v>71</v>
      </c>
      <c r="P2" s="3" t="s">
        <v>72</v>
      </c>
      <c r="W2" s="3" t="s">
        <v>74</v>
      </c>
      <c r="AC2" t="s">
        <v>73</v>
      </c>
    </row>
    <row r="3" spans="2:33" x14ac:dyDescent="0.35">
      <c r="B3" s="38" t="s">
        <v>1</v>
      </c>
      <c r="C3" s="39" t="s">
        <v>55</v>
      </c>
      <c r="D3" s="39" t="s">
        <v>56</v>
      </c>
      <c r="E3" s="39" t="s">
        <v>57</v>
      </c>
      <c r="F3" s="39" t="s">
        <v>58</v>
      </c>
      <c r="G3" s="39" t="s">
        <v>59</v>
      </c>
      <c r="I3" s="38" t="s">
        <v>1</v>
      </c>
      <c r="J3" s="39" t="s">
        <v>55</v>
      </c>
      <c r="K3" s="39" t="s">
        <v>56</v>
      </c>
      <c r="L3" s="39" t="s">
        <v>57</v>
      </c>
      <c r="M3" s="39" t="s">
        <v>58</v>
      </c>
      <c r="N3" s="39" t="s">
        <v>59</v>
      </c>
      <c r="P3" s="38" t="s">
        <v>1</v>
      </c>
      <c r="Q3" s="39" t="s">
        <v>55</v>
      </c>
      <c r="R3" s="39" t="s">
        <v>56</v>
      </c>
      <c r="S3" s="39" t="s">
        <v>57</v>
      </c>
      <c r="T3" s="39" t="s">
        <v>58</v>
      </c>
      <c r="U3" s="39" t="s">
        <v>59</v>
      </c>
      <c r="W3" s="39" t="s">
        <v>55</v>
      </c>
      <c r="X3" s="39" t="s">
        <v>56</v>
      </c>
      <c r="Y3" s="39" t="s">
        <v>57</v>
      </c>
      <c r="Z3" s="39" t="s">
        <v>58</v>
      </c>
      <c r="AA3" s="39" t="s">
        <v>59</v>
      </c>
      <c r="AC3" s="39" t="s">
        <v>55</v>
      </c>
      <c r="AD3" s="39" t="s">
        <v>56</v>
      </c>
      <c r="AE3" s="39" t="s">
        <v>57</v>
      </c>
      <c r="AF3" s="39" t="s">
        <v>58</v>
      </c>
      <c r="AG3" s="39" t="s">
        <v>59</v>
      </c>
    </row>
    <row r="4" spans="2:33" x14ac:dyDescent="0.35">
      <c r="B4" s="40" t="s">
        <v>42</v>
      </c>
      <c r="C4" s="16">
        <f>[1]MYT!AV258</f>
        <v>704.28227154619367</v>
      </c>
      <c r="D4" s="16">
        <f>[1]MYT!AW258</f>
        <v>739.46925716763462</v>
      </c>
      <c r="E4" s="16">
        <f>[1]MYT!AX258</f>
        <v>776.44272002601656</v>
      </c>
      <c r="F4" s="16">
        <f>[1]MYT!AY258</f>
        <v>815.26485602731748</v>
      </c>
      <c r="G4" s="16">
        <f>[1]MYT!AZ258</f>
        <v>856.02809882868326</v>
      </c>
      <c r="I4" s="40" t="s">
        <v>42</v>
      </c>
      <c r="J4" s="16">
        <f>'Summary of Reagent cost'!D4</f>
        <v>0</v>
      </c>
      <c r="K4" s="16">
        <f>'Summary of Reagent cost'!E4</f>
        <v>0</v>
      </c>
      <c r="L4" s="16">
        <f>'Summary of Reagent cost'!F4</f>
        <v>0</v>
      </c>
      <c r="M4" s="16">
        <f>'Summary of Reagent cost'!G4</f>
        <v>0</v>
      </c>
      <c r="N4" s="16">
        <f>'Summary of Reagent cost'!H4</f>
        <v>0</v>
      </c>
      <c r="P4" s="40" t="s">
        <v>42</v>
      </c>
      <c r="Q4" s="16">
        <f>C4-J4</f>
        <v>704.28227154619367</v>
      </c>
      <c r="R4" s="16">
        <f t="shared" ref="R4:U4" si="0">D4-K4</f>
        <v>739.46925716763462</v>
      </c>
      <c r="S4" s="16">
        <f t="shared" si="0"/>
        <v>776.44272002601656</v>
      </c>
      <c r="T4" s="16">
        <f t="shared" si="0"/>
        <v>815.26485602731748</v>
      </c>
      <c r="U4" s="16">
        <f t="shared" si="0"/>
        <v>856.02809882868326</v>
      </c>
      <c r="W4" s="16">
        <f>[3]F1!$S$11</f>
        <v>704.28227154619367</v>
      </c>
      <c r="X4" s="16">
        <f>[3]F1!$T$11</f>
        <v>739.46925716763462</v>
      </c>
      <c r="Y4" s="16">
        <f>[3]F1!$U$11</f>
        <v>776.44272002601656</v>
      </c>
      <c r="Z4" s="16">
        <f>[3]F1!$V$11</f>
        <v>815.26485602731748</v>
      </c>
      <c r="AA4" s="16">
        <f>[3]F1!$W$11</f>
        <v>856.02809882868326</v>
      </c>
      <c r="AC4" s="32">
        <f>Q4-W4</f>
        <v>0</v>
      </c>
      <c r="AD4" s="32">
        <f t="shared" ref="AD4:AG4" si="1">R4-X4</f>
        <v>0</v>
      </c>
      <c r="AE4" s="32">
        <f t="shared" si="1"/>
        <v>0</v>
      </c>
      <c r="AF4" s="32">
        <f t="shared" si="1"/>
        <v>0</v>
      </c>
      <c r="AG4" s="32">
        <f t="shared" si="1"/>
        <v>0</v>
      </c>
    </row>
    <row r="5" spans="2:33" x14ac:dyDescent="0.35">
      <c r="B5" s="40" t="s">
        <v>43</v>
      </c>
      <c r="C5" s="16">
        <f>[1]MYT!AV259</f>
        <v>5578.4730805644867</v>
      </c>
      <c r="D5" s="16">
        <f>[1]MYT!AW259</f>
        <v>5843.5917563221828</v>
      </c>
      <c r="E5" s="16">
        <f>[1]MYT!AX259</f>
        <v>6124.1979237297164</v>
      </c>
      <c r="F5" s="16">
        <f>[1]MYT!AY259</f>
        <v>6389.2591961349417</v>
      </c>
      <c r="G5" s="16">
        <f>[1]MYT!AZ259</f>
        <v>6659.4514666340137</v>
      </c>
      <c r="I5" s="40" t="s">
        <v>43</v>
      </c>
      <c r="J5" s="16">
        <f>'Summary of Reagent cost'!D5</f>
        <v>155.40616957061161</v>
      </c>
      <c r="K5" s="16">
        <f>'Summary of Reagent cost'!E5</f>
        <v>186.5805215533945</v>
      </c>
      <c r="L5" s="16">
        <f>'Summary of Reagent cost'!F5</f>
        <v>221.23567851470352</v>
      </c>
      <c r="M5" s="16">
        <f>'Summary of Reagent cost'!G5</f>
        <v>255.95961284421389</v>
      </c>
      <c r="N5" s="16">
        <f>'Summary of Reagent cost'!H5</f>
        <v>255.97269163750519</v>
      </c>
      <c r="P5" s="40" t="s">
        <v>43</v>
      </c>
      <c r="Q5" s="16">
        <f t="shared" ref="Q5:Q16" si="2">C5-J5</f>
        <v>5423.0669109938754</v>
      </c>
      <c r="R5" s="16">
        <f t="shared" ref="R5:R16" si="3">D5-K5</f>
        <v>5657.0112347687882</v>
      </c>
      <c r="S5" s="16">
        <f t="shared" ref="S5:S16" si="4">E5-L5</f>
        <v>5902.9622452150124</v>
      </c>
      <c r="T5" s="16">
        <f t="shared" ref="T5:T16" si="5">F5-M5</f>
        <v>6133.2995832907282</v>
      </c>
      <c r="U5" s="16">
        <f t="shared" ref="U5:U16" si="6">G5-N5</f>
        <v>6403.4787749965089</v>
      </c>
      <c r="W5" s="16">
        <f>[4]F1!$S$11</f>
        <v>5423.0669109938754</v>
      </c>
      <c r="X5" s="16">
        <f>[4]F1!$T$11</f>
        <v>5657.0112347687882</v>
      </c>
      <c r="Y5" s="16">
        <f>[4]F1!$U$11</f>
        <v>5902.9622452150134</v>
      </c>
      <c r="Z5" s="16">
        <f>[4]F1!$V$11</f>
        <v>6133.2995832907282</v>
      </c>
      <c r="AA5" s="16">
        <f>[4]F1!$W$11</f>
        <v>6403.4787749965089</v>
      </c>
      <c r="AC5" s="32">
        <f t="shared" ref="AC5:AC16" si="7">Q5-W5</f>
        <v>0</v>
      </c>
      <c r="AD5" s="32">
        <f t="shared" ref="AD5:AD16" si="8">R5-X5</f>
        <v>0</v>
      </c>
      <c r="AE5" s="32">
        <f t="shared" ref="AE5:AE16" si="9">S5-Y5</f>
        <v>0</v>
      </c>
      <c r="AF5" s="32">
        <f t="shared" ref="AF5:AF16" si="10">T5-Z5</f>
        <v>0</v>
      </c>
      <c r="AG5" s="32">
        <f t="shared" ref="AG5:AG16" si="11">U5-AA5</f>
        <v>0</v>
      </c>
    </row>
    <row r="6" spans="2:33" x14ac:dyDescent="0.35">
      <c r="B6" s="29" t="s">
        <v>44</v>
      </c>
      <c r="C6" s="16">
        <f>[1]MYT!AV260</f>
        <v>2243.2489294276684</v>
      </c>
      <c r="D6" s="16">
        <f>[1]MYT!AW260</f>
        <v>2352.2159733087424</v>
      </c>
      <c r="E6" s="16">
        <f>[1]MYT!AX260</f>
        <v>2435.816472914079</v>
      </c>
      <c r="F6" s="16">
        <f>[1]MYT!AY260</f>
        <v>2490.8465102888663</v>
      </c>
      <c r="G6" s="16">
        <f>[1]MYT!AZ260</f>
        <v>2581.377926277054</v>
      </c>
      <c r="I6" s="29" t="s">
        <v>44</v>
      </c>
      <c r="J6" s="16">
        <f>'Summary of Reagent cost'!D6</f>
        <v>320.75201589432777</v>
      </c>
      <c r="K6" s="16">
        <f>'Summary of Reagent cost'!E6</f>
        <v>350.01669242019301</v>
      </c>
      <c r="L6" s="16">
        <f>'Summary of Reagent cost'!F6</f>
        <v>350.01669242019301</v>
      </c>
      <c r="M6" s="16">
        <f>'Summary of Reagent cost'!G6</f>
        <v>350.02890174330167</v>
      </c>
      <c r="N6" s="16">
        <f>'Summary of Reagent cost'!H6</f>
        <v>350.02890174330167</v>
      </c>
      <c r="P6" s="29" t="s">
        <v>44</v>
      </c>
      <c r="Q6" s="16">
        <f t="shared" si="2"/>
        <v>1922.4969135333406</v>
      </c>
      <c r="R6" s="16">
        <f t="shared" si="3"/>
        <v>2002.1992808885493</v>
      </c>
      <c r="S6" s="16">
        <f t="shared" si="4"/>
        <v>2085.7997804938859</v>
      </c>
      <c r="T6" s="16">
        <f t="shared" si="5"/>
        <v>2140.8176085455648</v>
      </c>
      <c r="U6" s="16">
        <f t="shared" si="6"/>
        <v>2231.3490245337525</v>
      </c>
      <c r="W6" s="16">
        <f>[5]F1!$S$11</f>
        <v>1922.4969135333408</v>
      </c>
      <c r="X6" s="16">
        <f>[5]F1!$T$11</f>
        <v>2002.1992808885495</v>
      </c>
      <c r="Y6" s="16">
        <f>[5]F1!$U$11</f>
        <v>2085.7997804938859</v>
      </c>
      <c r="Z6" s="16">
        <f>[5]F1!$V$11</f>
        <v>2140.8176085455648</v>
      </c>
      <c r="AA6" s="16">
        <f>[5]F1!$W$11</f>
        <v>2231.3490245337525</v>
      </c>
      <c r="AC6" s="32">
        <f t="shared" si="7"/>
        <v>0</v>
      </c>
      <c r="AD6" s="32">
        <f t="shared" si="8"/>
        <v>0</v>
      </c>
      <c r="AE6" s="32">
        <f t="shared" si="9"/>
        <v>0</v>
      </c>
      <c r="AF6" s="32">
        <f t="shared" si="10"/>
        <v>0</v>
      </c>
      <c r="AG6" s="32">
        <f t="shared" si="11"/>
        <v>0</v>
      </c>
    </row>
    <row r="7" spans="2:33" x14ac:dyDescent="0.35">
      <c r="B7" s="29" t="s">
        <v>67</v>
      </c>
      <c r="C7" s="16">
        <f>[1]MYT!AV261</f>
        <v>488.92886959941052</v>
      </c>
      <c r="D7" s="16">
        <f>[1]MYT!AW261</f>
        <v>504.27177613293304</v>
      </c>
      <c r="E7" s="16">
        <f>[1]MYT!AX261</f>
        <v>520.38996371823612</v>
      </c>
      <c r="F7" s="16">
        <f>[1]MYT!AY261</f>
        <v>577.16959967945581</v>
      </c>
      <c r="G7" s="16">
        <f>[1]MYT!AZ261</f>
        <v>596.93267844208503</v>
      </c>
      <c r="I7" s="29" t="s">
        <v>67</v>
      </c>
      <c r="J7" s="16">
        <f>'Summary of Reagent cost'!D7</f>
        <v>87.453309371257575</v>
      </c>
      <c r="K7" s="16">
        <f>'Summary of Reagent cost'!E7</f>
        <v>87.451657121015998</v>
      </c>
      <c r="L7" s="16">
        <f>'Summary of Reagent cost'!F7</f>
        <v>87.451657121015998</v>
      </c>
      <c r="M7" s="16">
        <f>'Summary of Reagent cost'!G7</f>
        <v>87.451657121015998</v>
      </c>
      <c r="N7" s="16">
        <f>'Summary of Reagent cost'!H7</f>
        <v>87.451657121015998</v>
      </c>
      <c r="P7" s="29" t="s">
        <v>67</v>
      </c>
      <c r="Q7" s="16">
        <f t="shared" si="2"/>
        <v>401.47556022815297</v>
      </c>
      <c r="R7" s="16">
        <f t="shared" si="3"/>
        <v>416.82011901191703</v>
      </c>
      <c r="S7" s="16">
        <f t="shared" si="4"/>
        <v>432.93830659722011</v>
      </c>
      <c r="T7" s="16">
        <f t="shared" si="5"/>
        <v>489.7179425584398</v>
      </c>
      <c r="U7" s="16">
        <f t="shared" si="6"/>
        <v>509.48102132106902</v>
      </c>
      <c r="W7" s="16">
        <f>[6]F1!$S$11</f>
        <v>401.47556022815291</v>
      </c>
      <c r="X7" s="16">
        <f>[6]F1!$T$11</f>
        <v>416.82011901191703</v>
      </c>
      <c r="Y7" s="16">
        <f>[6]F1!$U$11</f>
        <v>432.93830659722016</v>
      </c>
      <c r="Z7" s="16">
        <f>[6]F1!$V$11</f>
        <v>489.7179425584398</v>
      </c>
      <c r="AA7" s="16">
        <f>[6]F1!$W$11</f>
        <v>509.48102132106908</v>
      </c>
      <c r="AC7" s="32">
        <f t="shared" si="7"/>
        <v>0</v>
      </c>
      <c r="AD7" s="32">
        <f t="shared" si="8"/>
        <v>0</v>
      </c>
      <c r="AE7" s="32">
        <f t="shared" si="9"/>
        <v>0</v>
      </c>
      <c r="AF7" s="32">
        <f t="shared" si="10"/>
        <v>0</v>
      </c>
      <c r="AG7" s="32">
        <f t="shared" si="11"/>
        <v>0</v>
      </c>
    </row>
    <row r="8" spans="2:33" x14ac:dyDescent="0.35">
      <c r="B8" s="29" t="s">
        <v>68</v>
      </c>
      <c r="C8" s="16">
        <f>[1]MYT!AV262</f>
        <v>2146.6681029820447</v>
      </c>
      <c r="D8" s="16">
        <f>[1]MYT!AW262</f>
        <v>2231.1549012913961</v>
      </c>
      <c r="E8" s="16">
        <f>[1]MYT!AX262</f>
        <v>2319.9211286674586</v>
      </c>
      <c r="F8" s="16">
        <f>[1]MYT!AY262</f>
        <v>2412.9548910434728</v>
      </c>
      <c r="G8" s="16">
        <f>[1]MYT!AZ262</f>
        <v>2510.6952929666513</v>
      </c>
      <c r="I8" s="29" t="s">
        <v>68</v>
      </c>
      <c r="J8" s="16">
        <f>'Summary of Reagent cost'!D8</f>
        <v>0</v>
      </c>
      <c r="K8" s="16">
        <f>'Summary of Reagent cost'!E8</f>
        <v>0</v>
      </c>
      <c r="L8" s="16">
        <f>'Summary of Reagent cost'!F8</f>
        <v>0</v>
      </c>
      <c r="M8" s="16">
        <f>'Summary of Reagent cost'!G8</f>
        <v>0</v>
      </c>
      <c r="N8" s="16">
        <f>'Summary of Reagent cost'!H8</f>
        <v>0</v>
      </c>
      <c r="P8" s="29" t="s">
        <v>68</v>
      </c>
      <c r="Q8" s="16">
        <f t="shared" si="2"/>
        <v>2146.6681029820447</v>
      </c>
      <c r="R8" s="16">
        <f t="shared" si="3"/>
        <v>2231.1549012913961</v>
      </c>
      <c r="S8" s="16">
        <f t="shared" si="4"/>
        <v>2319.9211286674586</v>
      </c>
      <c r="T8" s="16">
        <f t="shared" si="5"/>
        <v>2412.9548910434728</v>
      </c>
      <c r="U8" s="16">
        <f t="shared" si="6"/>
        <v>2510.6952929666513</v>
      </c>
      <c r="W8" s="16">
        <f>[7]F1!$S$11</f>
        <v>2146.6681029820447</v>
      </c>
      <c r="X8" s="16">
        <f>[7]F1!$T$11</f>
        <v>2231.1549012913961</v>
      </c>
      <c r="Y8" s="16">
        <f>[7]F1!$U$11</f>
        <v>2319.9211286674586</v>
      </c>
      <c r="Z8" s="16">
        <f>[7]F1!$V$11</f>
        <v>2412.9548910434728</v>
      </c>
      <c r="AA8" s="16">
        <f>[7]F1!$W$11</f>
        <v>2510.6952929666513</v>
      </c>
      <c r="AC8" s="32">
        <f t="shared" si="7"/>
        <v>0</v>
      </c>
      <c r="AD8" s="32">
        <f t="shared" si="8"/>
        <v>0</v>
      </c>
      <c r="AE8" s="32">
        <f t="shared" si="9"/>
        <v>0</v>
      </c>
      <c r="AF8" s="32">
        <f t="shared" si="10"/>
        <v>0</v>
      </c>
      <c r="AG8" s="32">
        <f t="shared" si="11"/>
        <v>0</v>
      </c>
    </row>
    <row r="9" spans="2:33" x14ac:dyDescent="0.35">
      <c r="B9" s="29" t="s">
        <v>69</v>
      </c>
      <c r="C9" s="16">
        <f>[1]MYT!AV263</f>
        <v>1220.4112160553632</v>
      </c>
      <c r="D9" s="16">
        <f>[1]MYT!AW263</f>
        <v>1220.4112160553632</v>
      </c>
      <c r="E9" s="16">
        <f>[1]MYT!AX263</f>
        <v>1223.7553195847752</v>
      </c>
      <c r="F9" s="16">
        <f>[1]MYT!AY263</f>
        <v>1220.4112160553632</v>
      </c>
      <c r="G9" s="16">
        <f>[1]MYT!AZ263</f>
        <v>1220.4112160553632</v>
      </c>
      <c r="I9" s="29" t="s">
        <v>69</v>
      </c>
      <c r="J9" s="16"/>
      <c r="K9" s="16"/>
      <c r="L9" s="16"/>
      <c r="M9" s="16"/>
      <c r="N9" s="16"/>
      <c r="P9" s="29" t="s">
        <v>69</v>
      </c>
      <c r="Q9" s="16">
        <f t="shared" si="2"/>
        <v>1220.4112160553632</v>
      </c>
      <c r="R9" s="16">
        <f t="shared" si="3"/>
        <v>1220.4112160553632</v>
      </c>
      <c r="S9" s="16">
        <f t="shared" si="4"/>
        <v>1223.7553195847752</v>
      </c>
      <c r="T9" s="16">
        <f t="shared" si="5"/>
        <v>1220.4112160553632</v>
      </c>
      <c r="U9" s="16">
        <f t="shared" si="6"/>
        <v>1220.4112160553632</v>
      </c>
      <c r="W9" s="16">
        <f>[8]F1!$S$11</f>
        <v>1220.4112160553632</v>
      </c>
      <c r="X9" s="16">
        <f>[8]F1!$T$11</f>
        <v>1220.4112160553632</v>
      </c>
      <c r="Y9" s="16">
        <f>[8]F1!$U$11</f>
        <v>1223.7553195847752</v>
      </c>
      <c r="Z9" s="16">
        <f>[8]F1!$V$11</f>
        <v>1220.4112160553632</v>
      </c>
      <c r="AA9" s="16">
        <f>[8]F1!$W$11</f>
        <v>1220.4112160553632</v>
      </c>
      <c r="AC9" s="32">
        <f t="shared" si="7"/>
        <v>0</v>
      </c>
      <c r="AD9" s="32">
        <f t="shared" si="8"/>
        <v>0</v>
      </c>
      <c r="AE9" s="32">
        <f t="shared" si="9"/>
        <v>0</v>
      </c>
      <c r="AF9" s="32">
        <f t="shared" si="10"/>
        <v>0</v>
      </c>
      <c r="AG9" s="32">
        <f t="shared" si="11"/>
        <v>0</v>
      </c>
    </row>
    <row r="10" spans="2:33" x14ac:dyDescent="0.35">
      <c r="B10" s="29" t="s">
        <v>47</v>
      </c>
      <c r="C10" s="16">
        <f>[1]MYT!AV264</f>
        <v>1336.8804381659625</v>
      </c>
      <c r="D10" s="16">
        <f>[1]MYT!AW264</f>
        <v>1409.4627146214161</v>
      </c>
      <c r="E10" s="16">
        <f>[1]MYT!AX264</f>
        <v>1478.5021729105117</v>
      </c>
      <c r="F10" s="16">
        <f>[1]MYT!AY264</f>
        <v>1551.1000219210853</v>
      </c>
      <c r="G10" s="16">
        <f>[1]MYT!AZ264</f>
        <v>1627.3862748187573</v>
      </c>
      <c r="I10" s="29" t="s">
        <v>47</v>
      </c>
      <c r="J10" s="16">
        <f>'Summary of Reagent cost'!D9</f>
        <v>19.92685988078312</v>
      </c>
      <c r="K10" s="16">
        <f>'Summary of Reagent cost'!E9</f>
        <v>26.547113454644524</v>
      </c>
      <c r="L10" s="16">
        <f>'Summary of Reagent cost'!F9</f>
        <v>26.545192699053409</v>
      </c>
      <c r="M10" s="16">
        <f>'Summary of Reagent cost'!G9</f>
        <v>26.545192699053409</v>
      </c>
      <c r="N10" s="16">
        <f>'Summary of Reagent cost'!H9</f>
        <v>26.54615307684897</v>
      </c>
      <c r="P10" s="29" t="s">
        <v>47</v>
      </c>
      <c r="Q10" s="16">
        <f t="shared" si="2"/>
        <v>1316.9535782851794</v>
      </c>
      <c r="R10" s="16">
        <f t="shared" si="3"/>
        <v>1382.9156011667717</v>
      </c>
      <c r="S10" s="16">
        <f t="shared" si="4"/>
        <v>1451.9569802114584</v>
      </c>
      <c r="T10" s="16">
        <f t="shared" si="5"/>
        <v>1524.5548292220319</v>
      </c>
      <c r="U10" s="16">
        <f t="shared" si="6"/>
        <v>1600.8401217419084</v>
      </c>
      <c r="W10" s="16">
        <f>[9]F1!$S$11</f>
        <v>1316.9535782851794</v>
      </c>
      <c r="X10" s="16">
        <f>[9]F1!$T$11</f>
        <v>1382.9156011667717</v>
      </c>
      <c r="Y10" s="16">
        <f>[9]F1!$U$11</f>
        <v>1451.9569802114584</v>
      </c>
      <c r="Z10" s="16">
        <f>[9]F1!$V$11</f>
        <v>1524.5548292220319</v>
      </c>
      <c r="AA10" s="16">
        <f>[9]F1!$W$11</f>
        <v>1600.8401217419084</v>
      </c>
      <c r="AC10" s="32">
        <f t="shared" si="7"/>
        <v>0</v>
      </c>
      <c r="AD10" s="32">
        <f t="shared" si="8"/>
        <v>0</v>
      </c>
      <c r="AE10" s="32">
        <f t="shared" si="9"/>
        <v>0</v>
      </c>
      <c r="AF10" s="32">
        <f t="shared" si="10"/>
        <v>0</v>
      </c>
      <c r="AG10" s="32">
        <f t="shared" si="11"/>
        <v>0</v>
      </c>
    </row>
    <row r="11" spans="2:33" x14ac:dyDescent="0.35">
      <c r="B11" s="29" t="s">
        <v>48</v>
      </c>
      <c r="C11" s="16">
        <f>[1]MYT!AV265</f>
        <v>2173.9740324163677</v>
      </c>
      <c r="D11" s="16">
        <f>[1]MYT!AW265</f>
        <v>2270.9516703072577</v>
      </c>
      <c r="E11" s="16">
        <f>[1]MYT!AX265</f>
        <v>2372.6993049207417</v>
      </c>
      <c r="F11" s="16">
        <f>[1]MYT!AY265</f>
        <v>2479.6200021644208</v>
      </c>
      <c r="G11" s="16">
        <f>[1]MYT!AZ265</f>
        <v>2591.6215326816255</v>
      </c>
      <c r="I11" s="29" t="s">
        <v>48</v>
      </c>
      <c r="J11" s="16">
        <f>'Summary of Reagent cost'!D10</f>
        <v>235.99079404041632</v>
      </c>
      <c r="K11" s="16">
        <f>'Summary of Reagent cost'!E10</f>
        <v>235.99897803758697</v>
      </c>
      <c r="L11" s="16">
        <f>'Summary of Reagent cost'!F10</f>
        <v>235.99897803758697</v>
      </c>
      <c r="M11" s="16">
        <f>'Summary of Reagent cost'!G10</f>
        <v>236.00716203475767</v>
      </c>
      <c r="N11" s="16">
        <f>'Summary of Reagent cost'!H10</f>
        <v>235.99079404041632</v>
      </c>
      <c r="P11" s="29" t="s">
        <v>48</v>
      </c>
      <c r="Q11" s="16">
        <f t="shared" si="2"/>
        <v>1937.9832383759513</v>
      </c>
      <c r="R11" s="16">
        <f t="shared" si="3"/>
        <v>2034.9526922696707</v>
      </c>
      <c r="S11" s="16">
        <f t="shared" si="4"/>
        <v>2136.700326883155</v>
      </c>
      <c r="T11" s="16">
        <f t="shared" si="5"/>
        <v>2243.6128401296633</v>
      </c>
      <c r="U11" s="16">
        <f t="shared" si="6"/>
        <v>2355.6307386412091</v>
      </c>
      <c r="W11" s="16">
        <f>[10]F1!$S$11</f>
        <v>1937.9832383759515</v>
      </c>
      <c r="X11" s="16">
        <f>[10]F1!$T$11</f>
        <v>2034.9526922696707</v>
      </c>
      <c r="Y11" s="16">
        <f>[10]F1!$U$11</f>
        <v>2136.700326883155</v>
      </c>
      <c r="Z11" s="16">
        <f>[10]F1!$V$11</f>
        <v>2243.6128401296633</v>
      </c>
      <c r="AA11" s="16">
        <f>[10]F1!$W$11</f>
        <v>2355.6307386412091</v>
      </c>
      <c r="AC11" s="32">
        <f t="shared" si="7"/>
        <v>0</v>
      </c>
      <c r="AD11" s="32">
        <f t="shared" si="8"/>
        <v>0</v>
      </c>
      <c r="AE11" s="32">
        <f t="shared" si="9"/>
        <v>0</v>
      </c>
      <c r="AF11" s="32">
        <f t="shared" si="10"/>
        <v>0</v>
      </c>
      <c r="AG11" s="32">
        <f t="shared" si="11"/>
        <v>0</v>
      </c>
    </row>
    <row r="12" spans="2:33" x14ac:dyDescent="0.35">
      <c r="B12" s="29" t="s">
        <v>49</v>
      </c>
      <c r="C12" s="16">
        <f>[1]MYT!AV266</f>
        <v>1212.8859173577605</v>
      </c>
      <c r="D12" s="16">
        <f>[1]MYT!AW266</f>
        <v>1257.5097847836173</v>
      </c>
      <c r="E12" s="16">
        <f>[1]MYT!AX266</f>
        <v>1326.2824758473307</v>
      </c>
      <c r="F12" s="16">
        <f>[1]MYT!AY266</f>
        <v>1375.5185571552863</v>
      </c>
      <c r="G12" s="16">
        <f>[1]MYT!AZ266</f>
        <v>1427.2164425286408</v>
      </c>
      <c r="I12" s="29" t="s">
        <v>49</v>
      </c>
      <c r="J12" s="16">
        <f>'Summary of Reagent cost'!D11</f>
        <v>0</v>
      </c>
      <c r="K12" s="16">
        <f>'Summary of Reagent cost'!E11</f>
        <v>0</v>
      </c>
      <c r="L12" s="16">
        <f>'Summary of Reagent cost'!F11</f>
        <v>21.881185056135898</v>
      </c>
      <c r="M12" s="16">
        <f>'Summary of Reagent cost'!G11</f>
        <v>21.881185056135898</v>
      </c>
      <c r="N12" s="16">
        <f>'Summary of Reagent cost'!H11</f>
        <v>21.881185056135898</v>
      </c>
      <c r="P12" s="29" t="s">
        <v>49</v>
      </c>
      <c r="Q12" s="16">
        <f t="shared" si="2"/>
        <v>1212.8859173577605</v>
      </c>
      <c r="R12" s="16">
        <f t="shared" si="3"/>
        <v>1257.5097847836173</v>
      </c>
      <c r="S12" s="16">
        <f t="shared" si="4"/>
        <v>1304.4012907911949</v>
      </c>
      <c r="T12" s="16">
        <f t="shared" si="5"/>
        <v>1353.6373720991505</v>
      </c>
      <c r="U12" s="16">
        <f t="shared" si="6"/>
        <v>1405.335257472505</v>
      </c>
      <c r="W12" s="16">
        <f>[11]F1!$S$11</f>
        <v>1212.8859173577605</v>
      </c>
      <c r="X12" s="16">
        <f>[11]F1!$T$11</f>
        <v>1257.5097847836173</v>
      </c>
      <c r="Y12" s="16">
        <f>[11]F1!$U$11</f>
        <v>1304.4012907911949</v>
      </c>
      <c r="Z12" s="16">
        <f>[11]F1!$V$11</f>
        <v>1353.6373720991505</v>
      </c>
      <c r="AA12" s="16">
        <f>[11]F1!$W$11</f>
        <v>1405.335257472505</v>
      </c>
      <c r="AC12" s="32">
        <f t="shared" si="7"/>
        <v>0</v>
      </c>
      <c r="AD12" s="32">
        <f t="shared" si="8"/>
        <v>0</v>
      </c>
      <c r="AE12" s="32">
        <f t="shared" si="9"/>
        <v>0</v>
      </c>
      <c r="AF12" s="32">
        <f t="shared" si="10"/>
        <v>0</v>
      </c>
      <c r="AG12" s="32">
        <f t="shared" si="11"/>
        <v>0</v>
      </c>
    </row>
    <row r="13" spans="2:33" x14ac:dyDescent="0.35">
      <c r="B13" s="29" t="s">
        <v>50</v>
      </c>
      <c r="C13" s="16">
        <f>[1]MYT!AV267</f>
        <v>3044.4720250184691</v>
      </c>
      <c r="D13" s="16">
        <f>[1]MYT!AW267</f>
        <v>3170.3935191245555</v>
      </c>
      <c r="E13" s="16">
        <f>[1]MYT!AX267</f>
        <v>3341.0323559543081</v>
      </c>
      <c r="F13" s="16">
        <f>[1]MYT!AY267</f>
        <v>3485.3387864990204</v>
      </c>
      <c r="G13" s="16">
        <f>[1]MYT!AZ267</f>
        <v>3631.0464703913885</v>
      </c>
      <c r="I13" s="29" t="s">
        <v>50</v>
      </c>
      <c r="J13" s="16">
        <f>'Summary of Reagent cost'!D12</f>
        <v>0</v>
      </c>
      <c r="K13" s="16">
        <f>'Summary of Reagent cost'!E12</f>
        <v>0</v>
      </c>
      <c r="L13" s="16">
        <f>'Summary of Reagent cost'!F12</f>
        <v>38.480358219773102</v>
      </c>
      <c r="M13" s="16">
        <f>'Summary of Reagent cost'!G12</f>
        <v>43.961161726684018</v>
      </c>
      <c r="N13" s="16">
        <f>'Summary of Reagent cost'!H12</f>
        <v>43.961161726684018</v>
      </c>
      <c r="P13" s="29" t="s">
        <v>50</v>
      </c>
      <c r="Q13" s="16">
        <f t="shared" si="2"/>
        <v>3044.4720250184691</v>
      </c>
      <c r="R13" s="16">
        <f t="shared" si="3"/>
        <v>3170.3935191245555</v>
      </c>
      <c r="S13" s="16">
        <f t="shared" si="4"/>
        <v>3302.5519977345348</v>
      </c>
      <c r="T13" s="16">
        <f t="shared" si="5"/>
        <v>3441.3776247723363</v>
      </c>
      <c r="U13" s="16">
        <f t="shared" si="6"/>
        <v>3587.0853086647044</v>
      </c>
      <c r="W13" s="16">
        <f>[12]F1!$S$11</f>
        <v>3044.4720250184691</v>
      </c>
      <c r="X13" s="16">
        <f>[12]F1!$T$11</f>
        <v>3170.3935191245555</v>
      </c>
      <c r="Y13" s="16">
        <f>[12]F1!$U$11</f>
        <v>3302.5519977345348</v>
      </c>
      <c r="Z13" s="16">
        <f>[12]F1!$V$11</f>
        <v>3441.3776247723363</v>
      </c>
      <c r="AA13" s="16">
        <f>[12]F1!$W$11</f>
        <v>3587.0853086647044</v>
      </c>
      <c r="AC13" s="32">
        <f t="shared" si="7"/>
        <v>0</v>
      </c>
      <c r="AD13" s="32">
        <f t="shared" si="8"/>
        <v>0</v>
      </c>
      <c r="AE13" s="32">
        <f t="shared" si="9"/>
        <v>0</v>
      </c>
      <c r="AF13" s="32">
        <f t="shared" si="10"/>
        <v>0</v>
      </c>
      <c r="AG13" s="32">
        <f t="shared" si="11"/>
        <v>0</v>
      </c>
    </row>
    <row r="14" spans="2:33" x14ac:dyDescent="0.35">
      <c r="B14" s="29" t="s">
        <v>51</v>
      </c>
      <c r="C14" s="16">
        <f>[1]MYT!AV268</f>
        <v>4889.5672939325104</v>
      </c>
      <c r="D14" s="16">
        <f>[1]MYT!AW268</f>
        <v>5091.315662486536</v>
      </c>
      <c r="E14" s="16">
        <f>[1]MYT!AX268</f>
        <v>5363.5311414528642</v>
      </c>
      <c r="F14" s="16">
        <f>[1]MYT!AY268</f>
        <v>5341.1329227824908</v>
      </c>
      <c r="G14" s="16">
        <f>[1]MYT!AZ268</f>
        <v>5174.9425846297108</v>
      </c>
      <c r="I14" s="29" t="s">
        <v>51</v>
      </c>
      <c r="J14" s="16">
        <f>'Summary of Reagent cost'!D13</f>
        <v>0</v>
      </c>
      <c r="K14" s="16">
        <f>'Summary of Reagent cost'!E13</f>
        <v>6.2677058302533126</v>
      </c>
      <c r="L14" s="16">
        <f>'Summary of Reagent cost'!F13</f>
        <v>70.152759098516071</v>
      </c>
      <c r="M14" s="16">
        <f>'Summary of Reagent cost'!G13</f>
        <v>77.44897739025258</v>
      </c>
      <c r="N14" s="16">
        <f>'Summary of Reagent cost'!H13</f>
        <v>78.77588135282133</v>
      </c>
      <c r="P14" s="29" t="s">
        <v>51</v>
      </c>
      <c r="Q14" s="16">
        <f t="shared" si="2"/>
        <v>4889.5672939325104</v>
      </c>
      <c r="R14" s="16">
        <f t="shared" si="3"/>
        <v>5085.0479566562826</v>
      </c>
      <c r="S14" s="16">
        <f t="shared" si="4"/>
        <v>5293.3783823543481</v>
      </c>
      <c r="T14" s="16">
        <f t="shared" si="5"/>
        <v>5263.6839453922385</v>
      </c>
      <c r="U14" s="16">
        <f t="shared" si="6"/>
        <v>5096.1667032768892</v>
      </c>
      <c r="W14" s="16">
        <f>[13]F1!$S$11</f>
        <v>4889.5672939325104</v>
      </c>
      <c r="X14" s="16">
        <f>[13]F1!$T$11</f>
        <v>5085.0479566562826</v>
      </c>
      <c r="Y14" s="16">
        <f>[13]F1!$U$11</f>
        <v>5293.3783823543481</v>
      </c>
      <c r="Z14" s="16">
        <f>[13]F1!$V$11</f>
        <v>5263.6839453922385</v>
      </c>
      <c r="AA14" s="16">
        <f>[13]F1!$W$11</f>
        <v>5096.1667032768892</v>
      </c>
      <c r="AC14" s="32">
        <f t="shared" si="7"/>
        <v>0</v>
      </c>
      <c r="AD14" s="32">
        <f t="shared" si="8"/>
        <v>0</v>
      </c>
      <c r="AE14" s="32">
        <f t="shared" si="9"/>
        <v>0</v>
      </c>
      <c r="AF14" s="32">
        <f t="shared" si="10"/>
        <v>0</v>
      </c>
      <c r="AG14" s="32">
        <f t="shared" si="11"/>
        <v>0</v>
      </c>
    </row>
    <row r="15" spans="2:33" x14ac:dyDescent="0.35">
      <c r="B15" s="29" t="s">
        <v>52</v>
      </c>
      <c r="C15" s="16">
        <f>[1]MYT!AV269</f>
        <v>2678.0535676680306</v>
      </c>
      <c r="D15" s="16">
        <f>[1]MYT!AW269</f>
        <v>2772.3770271689418</v>
      </c>
      <c r="E15" s="16">
        <f>[1]MYT!AX269</f>
        <v>2875.0677905919024</v>
      </c>
      <c r="F15" s="16">
        <f>[1]MYT!AY269</f>
        <v>2681.3965530673545</v>
      </c>
      <c r="G15" s="16">
        <f>[1]MYT!AZ269</f>
        <v>2730.7292439322464</v>
      </c>
      <c r="I15" s="29" t="s">
        <v>52</v>
      </c>
      <c r="J15" s="16">
        <f>'Summary of Reagent cost'!D14</f>
        <v>0</v>
      </c>
      <c r="K15" s="16">
        <f>'Summary of Reagent cost'!E14</f>
        <v>0</v>
      </c>
      <c r="L15" s="16">
        <f>'Summary of Reagent cost'!F14</f>
        <v>21.473868195935328</v>
      </c>
      <c r="M15" s="16">
        <f>'Summary of Reagent cost'!G14</f>
        <v>29.546197625482346</v>
      </c>
      <c r="N15" s="16">
        <f>'Summary of Reagent cost'!H14</f>
        <v>29.424669870446461</v>
      </c>
      <c r="P15" s="29" t="s">
        <v>52</v>
      </c>
      <c r="Q15" s="16">
        <f t="shared" si="2"/>
        <v>2678.0535676680306</v>
      </c>
      <c r="R15" s="16">
        <f t="shared" si="3"/>
        <v>2772.3770271689418</v>
      </c>
      <c r="S15" s="16">
        <f t="shared" si="4"/>
        <v>2853.5939223959672</v>
      </c>
      <c r="T15" s="16">
        <f t="shared" si="5"/>
        <v>2651.8503554418721</v>
      </c>
      <c r="U15" s="16">
        <f t="shared" si="6"/>
        <v>2701.3045740617999</v>
      </c>
      <c r="W15" s="16">
        <f>[14]F1!$S$11</f>
        <v>2678.0535676680306</v>
      </c>
      <c r="X15" s="16">
        <f>[14]F1!$T$11</f>
        <v>2772.3770271689418</v>
      </c>
      <c r="Y15" s="16">
        <f>[14]F1!$U$11</f>
        <v>2853.5939223959672</v>
      </c>
      <c r="Z15" s="16">
        <f>[14]F1!$V$11</f>
        <v>2651.8503554418721</v>
      </c>
      <c r="AA15" s="16">
        <f>[14]F1!$W$11</f>
        <v>2701.3045740617999</v>
      </c>
      <c r="AC15" s="32">
        <f t="shared" si="7"/>
        <v>0</v>
      </c>
      <c r="AD15" s="32">
        <f t="shared" si="8"/>
        <v>0</v>
      </c>
      <c r="AE15" s="32">
        <f t="shared" si="9"/>
        <v>0</v>
      </c>
      <c r="AF15" s="32">
        <f t="shared" si="10"/>
        <v>0</v>
      </c>
      <c r="AG15" s="32">
        <f t="shared" si="11"/>
        <v>0</v>
      </c>
    </row>
    <row r="16" spans="2:33" x14ac:dyDescent="0.35">
      <c r="B16" s="29" t="s">
        <v>53</v>
      </c>
      <c r="C16" s="16">
        <f>[1]MYT!AV270</f>
        <v>1088.7355910185738</v>
      </c>
      <c r="D16" s="16">
        <f>[1]MYT!AW270</f>
        <v>1137.2727254671195</v>
      </c>
      <c r="E16" s="16">
        <f>[1]MYT!AX270</f>
        <v>1164.6273178643514</v>
      </c>
      <c r="F16" s="16">
        <f>[1]MYT!AY270</f>
        <v>1215.5387914604528</v>
      </c>
      <c r="G16" s="16">
        <f>[1]MYT!AZ270</f>
        <v>1268.995838736359</v>
      </c>
      <c r="I16" s="29" t="s">
        <v>53</v>
      </c>
      <c r="J16" s="16">
        <f>'Summary of Reagent cost'!D15</f>
        <v>117.99290204766319</v>
      </c>
      <c r="K16" s="16">
        <f>'Summary of Reagent cost'!E15</f>
        <v>117.99290204766319</v>
      </c>
      <c r="L16" s="16">
        <f>'Summary of Reagent cost'!F15</f>
        <v>117.99795033261863</v>
      </c>
      <c r="M16" s="16">
        <f>'Summary of Reagent cost'!G15</f>
        <v>117.99795033261863</v>
      </c>
      <c r="N16" s="16">
        <f>'Summary of Reagent cost'!H15</f>
        <v>117.99795033261863</v>
      </c>
      <c r="P16" s="29" t="s">
        <v>53</v>
      </c>
      <c r="Q16" s="16">
        <f t="shared" si="2"/>
        <v>970.74268897091065</v>
      </c>
      <c r="R16" s="16">
        <f t="shared" si="3"/>
        <v>1019.2798234194563</v>
      </c>
      <c r="S16" s="16">
        <f t="shared" si="4"/>
        <v>1046.6293675317329</v>
      </c>
      <c r="T16" s="16">
        <f t="shared" si="5"/>
        <v>1097.5408411278343</v>
      </c>
      <c r="U16" s="16">
        <f t="shared" si="6"/>
        <v>1150.9978884037405</v>
      </c>
      <c r="W16" s="16">
        <f>[15]F1!$S$11</f>
        <v>970.74268897091065</v>
      </c>
      <c r="X16" s="16">
        <f>[15]F1!$T$11</f>
        <v>1019.2798234194563</v>
      </c>
      <c r="Y16" s="16">
        <f>[15]F1!$U$11</f>
        <v>1046.6293675317329</v>
      </c>
      <c r="Z16" s="16">
        <f>[15]F1!$V$11</f>
        <v>1097.5408411278343</v>
      </c>
      <c r="AA16" s="16">
        <f>[15]F1!$W$11</f>
        <v>1150.9978884037405</v>
      </c>
      <c r="AC16" s="32">
        <f t="shared" si="7"/>
        <v>0</v>
      </c>
      <c r="AD16" s="32">
        <f t="shared" si="8"/>
        <v>0</v>
      </c>
      <c r="AE16" s="32">
        <f t="shared" si="9"/>
        <v>0</v>
      </c>
      <c r="AF16" s="32">
        <f t="shared" si="10"/>
        <v>0</v>
      </c>
      <c r="AG16" s="32">
        <f t="shared" si="11"/>
        <v>0</v>
      </c>
    </row>
    <row r="17" spans="2:33" x14ac:dyDescent="0.35">
      <c r="B17" s="41" t="s">
        <v>60</v>
      </c>
      <c r="C17" s="13">
        <f t="shared" ref="C17:G17" si="12">SUM(C4:C16)</f>
        <v>28806.581335752846</v>
      </c>
      <c r="D17" s="13">
        <f t="shared" si="12"/>
        <v>30000.397984237701</v>
      </c>
      <c r="E17" s="13">
        <f t="shared" si="12"/>
        <v>31322.266088182296</v>
      </c>
      <c r="F17" s="13">
        <f t="shared" si="12"/>
        <v>32035.551904279531</v>
      </c>
      <c r="G17" s="13">
        <f t="shared" si="12"/>
        <v>32876.835066922577</v>
      </c>
      <c r="I17" s="41" t="s">
        <v>60</v>
      </c>
      <c r="J17" s="13">
        <f t="shared" ref="J17:N17" si="13">SUM(J4:J16)</f>
        <v>937.52205080505951</v>
      </c>
      <c r="K17" s="13">
        <f t="shared" si="13"/>
        <v>1010.8555704647515</v>
      </c>
      <c r="L17" s="13">
        <f t="shared" si="13"/>
        <v>1191.2343196955319</v>
      </c>
      <c r="M17" s="13">
        <f t="shared" si="13"/>
        <v>1246.827998573516</v>
      </c>
      <c r="N17" s="13">
        <f t="shared" si="13"/>
        <v>1248.0310459577945</v>
      </c>
      <c r="P17" s="41" t="s">
        <v>60</v>
      </c>
      <c r="Q17" s="13">
        <f t="shared" ref="Q17:U17" si="14">SUM(Q4:Q16)</f>
        <v>27869.059284947783</v>
      </c>
      <c r="R17" s="13">
        <f t="shared" si="14"/>
        <v>28989.542413772946</v>
      </c>
      <c r="S17" s="13">
        <f t="shared" si="14"/>
        <v>30131.031768486762</v>
      </c>
      <c r="T17" s="13">
        <f t="shared" si="14"/>
        <v>30788.723905706014</v>
      </c>
      <c r="U17" s="13">
        <f t="shared" si="14"/>
        <v>31628.804020964784</v>
      </c>
      <c r="W17" s="16">
        <f>SUM(W4:W16)</f>
        <v>27869.059284947783</v>
      </c>
      <c r="X17" s="16">
        <f t="shared" ref="X17:AA17" si="15">SUM(X4:X16)</f>
        <v>28989.542413772946</v>
      </c>
      <c r="Y17" s="16">
        <f t="shared" si="15"/>
        <v>30131.031768486766</v>
      </c>
      <c r="Z17" s="16">
        <f t="shared" si="15"/>
        <v>30788.723905706014</v>
      </c>
      <c r="AA17" s="16">
        <f t="shared" si="15"/>
        <v>31628.804020964784</v>
      </c>
      <c r="AC17" s="42">
        <f>SUM(AC4:AC16)</f>
        <v>0</v>
      </c>
      <c r="AD17" s="42">
        <f t="shared" ref="AD17:AG17" si="16">SUM(AD4:AD16)</f>
        <v>0</v>
      </c>
      <c r="AE17" s="42">
        <f t="shared" si="16"/>
        <v>0</v>
      </c>
      <c r="AF17" s="42">
        <f t="shared" si="16"/>
        <v>0</v>
      </c>
      <c r="AG17" s="42">
        <f t="shared" si="16"/>
        <v>0</v>
      </c>
    </row>
    <row r="18" spans="2:33" x14ac:dyDescent="0.35">
      <c r="J18" s="32">
        <f>J17-'Summary of Reagent cost'!D16</f>
        <v>0</v>
      </c>
      <c r="K18" s="32">
        <f>K17-'Summary of Reagent cost'!E16</f>
        <v>0</v>
      </c>
      <c r="L18" s="32">
        <f>L17-'Summary of Reagent cost'!F16</f>
        <v>0</v>
      </c>
      <c r="M18" s="32">
        <f>M17-'Summary of Reagent cost'!G16</f>
        <v>0</v>
      </c>
      <c r="N18" s="32">
        <f>N17-'Summary of Reagent cost'!H16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804E-8E33-4230-AB94-97318E06E95C}">
  <dimension ref="A1:G34"/>
  <sheetViews>
    <sheetView showGridLines="0" workbookViewId="0">
      <pane xSplit="2" ySplit="3" topLeftCell="C16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4.5" x14ac:dyDescent="0.35"/>
  <cols>
    <col min="1" max="1" width="8.7265625" style="5"/>
    <col min="2" max="2" width="28.1796875" style="5" bestFit="1" customWidth="1"/>
    <col min="3" max="5" width="10.08984375" style="5" bestFit="1" customWidth="1"/>
    <col min="6" max="6" width="10.90625" style="5" customWidth="1"/>
    <col min="7" max="7" width="14.26953125" style="5" customWidth="1"/>
    <col min="8" max="16384" width="8.7265625" style="5"/>
  </cols>
  <sheetData>
    <row r="1" spans="1:7" x14ac:dyDescent="0.35">
      <c r="A1" s="3" t="s">
        <v>41</v>
      </c>
    </row>
    <row r="2" spans="1:7" x14ac:dyDescent="0.35">
      <c r="A2" s="3"/>
      <c r="B2" s="5" t="s">
        <v>61</v>
      </c>
      <c r="C2" s="36">
        <v>45565</v>
      </c>
      <c r="D2" s="36">
        <v>45626</v>
      </c>
      <c r="E2" s="36">
        <v>45688</v>
      </c>
      <c r="F2" s="36">
        <v>45688</v>
      </c>
    </row>
    <row r="3" spans="1:7" s="23" customFormat="1" ht="29" x14ac:dyDescent="0.35">
      <c r="A3" s="9" t="s">
        <v>39</v>
      </c>
      <c r="B3" s="24" t="s">
        <v>1</v>
      </c>
      <c r="C3" s="9" t="s">
        <v>6</v>
      </c>
      <c r="D3" s="9" t="s">
        <v>0</v>
      </c>
      <c r="E3" s="9" t="s">
        <v>8</v>
      </c>
      <c r="F3" s="9" t="s">
        <v>17</v>
      </c>
      <c r="G3" s="22" t="s">
        <v>63</v>
      </c>
    </row>
    <row r="4" spans="1:7" x14ac:dyDescent="0.35">
      <c r="A4" s="10">
        <v>1</v>
      </c>
      <c r="B4" s="11" t="s">
        <v>18</v>
      </c>
      <c r="C4" s="1">
        <f>'[2]FY 24-25 H2'!O1441</f>
        <v>2630</v>
      </c>
      <c r="D4" s="1">
        <f>'[2]FY 24-25 H2'!I1441</f>
        <v>2455.75</v>
      </c>
      <c r="E4" s="1">
        <f>'[2]FY 24-25 H2'!M1441</f>
        <v>2430</v>
      </c>
      <c r="F4" s="1">
        <f>'[2]FY 24-25 H2'!N1441</f>
        <v>2430</v>
      </c>
      <c r="G4" s="7"/>
    </row>
    <row r="5" spans="1:7" x14ac:dyDescent="0.35">
      <c r="A5" s="10">
        <f>A4+1</f>
        <v>2</v>
      </c>
      <c r="B5" s="11" t="s">
        <v>19</v>
      </c>
      <c r="C5" s="8">
        <f>'[2]FY 24-25 H2'!O1442</f>
        <v>3147.7989967967833</v>
      </c>
      <c r="D5" s="8">
        <f>'[2]FY 24-25 H2'!I1442</f>
        <v>3345.6775545240412</v>
      </c>
      <c r="E5" s="8">
        <f>'[2]FY 24-25 H2'!M1442</f>
        <v>3145</v>
      </c>
      <c r="F5" s="8">
        <f>'[2]FY 24-25 H2'!N1442</f>
        <v>3145</v>
      </c>
      <c r="G5" s="7"/>
    </row>
    <row r="6" spans="1:7" x14ac:dyDescent="0.35">
      <c r="A6" s="10">
        <f t="shared" ref="A6:A12" si="0">A5+1</f>
        <v>3</v>
      </c>
      <c r="B6" s="11" t="s">
        <v>20</v>
      </c>
      <c r="C6" s="8">
        <f>'[2]FY 24-25 H2'!O1443</f>
        <v>3062.7989967967833</v>
      </c>
      <c r="D6" s="8">
        <f>'[2]FY 24-25 H2'!I1443</f>
        <v>3260.6775545240412</v>
      </c>
      <c r="E6" s="8">
        <f>'[2]FY 24-25 H2'!M1443</f>
        <v>3060</v>
      </c>
      <c r="F6" s="8">
        <f>'[2]FY 24-25 H2'!N1443</f>
        <v>3060</v>
      </c>
      <c r="G6" s="7"/>
    </row>
    <row r="7" spans="1:7" x14ac:dyDescent="0.35">
      <c r="A7" s="10">
        <f t="shared" si="0"/>
        <v>4</v>
      </c>
      <c r="B7" s="11" t="s">
        <v>21</v>
      </c>
      <c r="C7" s="4">
        <f>'[2]FY 24-25 H2'!O1444</f>
        <v>7.4999999999999997E-3</v>
      </c>
      <c r="D7" s="4">
        <f>'[2]FY 24-25 H2'!I1444</f>
        <v>7.4999999999999997E-3</v>
      </c>
      <c r="E7" s="4">
        <f>'[2]FY 24-25 H2'!M1444</f>
        <v>7.4999999999999997E-3</v>
      </c>
      <c r="F7" s="4">
        <f>'[2]FY 24-25 H2'!N1444</f>
        <v>7.4999999999999997E-3</v>
      </c>
      <c r="G7" s="7"/>
    </row>
    <row r="8" spans="1:7" x14ac:dyDescent="0.35">
      <c r="A8" s="10">
        <f t="shared" si="0"/>
        <v>5</v>
      </c>
      <c r="B8" s="11" t="s">
        <v>22</v>
      </c>
      <c r="C8" s="4">
        <f>'[2]FY 24-25 H2'!O1445</f>
        <v>0.85</v>
      </c>
      <c r="D8" s="4">
        <f>'[2]FY 24-25 H2'!I1445</f>
        <v>0.85</v>
      </c>
      <c r="E8" s="4">
        <f>'[2]FY 24-25 H2'!M1445</f>
        <v>0.85</v>
      </c>
      <c r="F8" s="4">
        <f>'[2]FY 24-25 H2'!N1445</f>
        <v>0.85</v>
      </c>
      <c r="G8" s="7"/>
    </row>
    <row r="9" spans="1:7" ht="43.5" x14ac:dyDescent="0.35">
      <c r="A9" s="10">
        <f t="shared" si="0"/>
        <v>6</v>
      </c>
      <c r="B9" s="11" t="s">
        <v>23</v>
      </c>
      <c r="C9" s="8">
        <f>'[2]FY 24-25 H2'!O1446</f>
        <v>600</v>
      </c>
      <c r="D9" s="8">
        <f>'[2]FY 24-25 H2'!I1446</f>
        <v>600</v>
      </c>
      <c r="E9" s="8">
        <f>'[2]FY 24-25 H2'!M1446</f>
        <v>600</v>
      </c>
      <c r="F9" s="8">
        <f>'[2]FY 24-25 H2'!N1446</f>
        <v>600</v>
      </c>
      <c r="G9" s="7"/>
    </row>
    <row r="10" spans="1:7" ht="29" x14ac:dyDescent="0.35">
      <c r="A10" s="10">
        <f t="shared" si="0"/>
        <v>7</v>
      </c>
      <c r="B10" s="11" t="s">
        <v>24</v>
      </c>
      <c r="C10" s="4">
        <f>'[2]FY 24-25 H2'!O1447</f>
        <v>0.73</v>
      </c>
      <c r="D10" s="4">
        <f>'[2]FY 24-25 H2'!I1447</f>
        <v>0.73</v>
      </c>
      <c r="E10" s="4">
        <f>'[2]FY 24-25 H2'!M1447</f>
        <v>0.73</v>
      </c>
      <c r="F10" s="4">
        <f>'[2]FY 24-25 H2'!N1447</f>
        <v>0.73</v>
      </c>
      <c r="G10" s="7"/>
    </row>
    <row r="11" spans="1:7" x14ac:dyDescent="0.35">
      <c r="A11" s="10">
        <f t="shared" si="0"/>
        <v>8</v>
      </c>
      <c r="B11" s="11" t="s">
        <v>25</v>
      </c>
      <c r="C11" s="7">
        <f t="shared" ref="C11:F11" si="1">IF(C10=73%,26.8,35.2)</f>
        <v>26.8</v>
      </c>
      <c r="D11" s="7">
        <f t="shared" si="1"/>
        <v>26.8</v>
      </c>
      <c r="E11" s="7">
        <f t="shared" si="1"/>
        <v>26.8</v>
      </c>
      <c r="F11" s="7">
        <f t="shared" si="1"/>
        <v>26.8</v>
      </c>
      <c r="G11" s="7"/>
    </row>
    <row r="12" spans="1:7" ht="29" x14ac:dyDescent="0.35">
      <c r="A12" s="10">
        <f t="shared" si="0"/>
        <v>9</v>
      </c>
      <c r="B12" s="11" t="s">
        <v>26</v>
      </c>
      <c r="C12" s="18">
        <f>'[2]FY 24-25 H2'!$O$1449</f>
        <v>0.67</v>
      </c>
      <c r="D12" s="18">
        <f>'[2]FY 24-25 H2'!$I$1449</f>
        <v>0.67</v>
      </c>
      <c r="E12" s="18">
        <f>'[2]FY 24-25 H2'!$M$1449</f>
        <v>0.67</v>
      </c>
      <c r="F12" s="18">
        <f>'[2]FY 24-25 H2'!$N$1449</f>
        <v>0.67</v>
      </c>
      <c r="G12" s="7"/>
    </row>
    <row r="13" spans="1:7" x14ac:dyDescent="0.35">
      <c r="A13" s="10">
        <f>A12+1</f>
        <v>10</v>
      </c>
      <c r="B13" s="11" t="s">
        <v>27</v>
      </c>
      <c r="C13" s="12">
        <f t="shared" ref="C13:F13" si="2">C11*C12/C10</f>
        <v>24.597260273972609</v>
      </c>
      <c r="D13" s="12">
        <f t="shared" si="2"/>
        <v>24.597260273972609</v>
      </c>
      <c r="E13" s="12">
        <f t="shared" si="2"/>
        <v>24.597260273972609</v>
      </c>
      <c r="F13" s="12">
        <f t="shared" si="2"/>
        <v>24.597260273972609</v>
      </c>
      <c r="G13" s="7"/>
    </row>
    <row r="14" spans="1:7" ht="29" x14ac:dyDescent="0.35">
      <c r="A14" s="10">
        <f>A13+1</f>
        <v>11</v>
      </c>
      <c r="B14" s="11" t="s">
        <v>28</v>
      </c>
      <c r="C14" s="13">
        <f t="shared" ref="C14:F14" si="3">(C13*C4*C7/C6)*(85/C8)</f>
        <v>15.841096964297508</v>
      </c>
      <c r="D14" s="13">
        <f t="shared" si="3"/>
        <v>13.893904159735015</v>
      </c>
      <c r="E14" s="13">
        <f t="shared" si="3"/>
        <v>14.649838839645451</v>
      </c>
      <c r="F14" s="13">
        <f t="shared" si="3"/>
        <v>14.649838839645451</v>
      </c>
      <c r="G14" s="7" t="s">
        <v>64</v>
      </c>
    </row>
    <row r="15" spans="1:7" x14ac:dyDescent="0.35">
      <c r="A15" s="7"/>
      <c r="B15" s="14"/>
      <c r="C15" s="7"/>
      <c r="D15" s="7"/>
      <c r="E15" s="7"/>
      <c r="F15" s="7"/>
      <c r="G15" s="7"/>
    </row>
    <row r="16" spans="1:7" x14ac:dyDescent="0.35">
      <c r="A16" s="7"/>
      <c r="B16" s="14"/>
      <c r="C16" s="7"/>
      <c r="D16" s="7"/>
      <c r="E16" s="7"/>
      <c r="F16" s="7"/>
      <c r="G16" s="7"/>
    </row>
    <row r="17" spans="1:7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</row>
    <row r="18" spans="1:7" x14ac:dyDescent="0.35">
      <c r="A18" s="10">
        <v>1</v>
      </c>
      <c r="B18" s="11" t="s">
        <v>30</v>
      </c>
      <c r="C18" s="16">
        <f>'[2]FY 24-25 H2'!O1455</f>
        <v>1355.5642677346455</v>
      </c>
      <c r="D18" s="16">
        <f>'[2]FY 24-25 H2'!I1455</f>
        <v>440.79995499447006</v>
      </c>
      <c r="E18" s="16">
        <f>'[2]FY 24-25 H2'!M1455</f>
        <v>605.08112132838164</v>
      </c>
      <c r="F18" s="16">
        <f>'[2]FY 24-25 H2'!N1455</f>
        <v>302.51864195512087</v>
      </c>
      <c r="G18" s="7"/>
    </row>
    <row r="19" spans="1:7" x14ac:dyDescent="0.35">
      <c r="A19" s="10">
        <f>A18+1</f>
        <v>2</v>
      </c>
      <c r="B19" s="11" t="s">
        <v>2</v>
      </c>
      <c r="C19" s="25" t="str">
        <f>'[2]FY 24-25 H2'!O1456</f>
        <v>SBC</v>
      </c>
      <c r="D19" s="25" t="str">
        <f>'[2]FY 24-25 H2'!I1456</f>
        <v>SBC</v>
      </c>
      <c r="E19" s="25" t="str">
        <f>'[2]FY 24-25 H2'!M1456</f>
        <v>SBC</v>
      </c>
      <c r="F19" s="25" t="str">
        <f>'[2]FY 24-25 H2'!N1456</f>
        <v>SBC</v>
      </c>
      <c r="G19" s="7"/>
    </row>
    <row r="20" spans="1:7" ht="29" x14ac:dyDescent="0.35">
      <c r="A20" s="10">
        <f t="shared" ref="A20:A23" si="4">A19+1</f>
        <v>3</v>
      </c>
      <c r="B20" s="11" t="s">
        <v>31</v>
      </c>
      <c r="C20" s="12">
        <f t="shared" ref="C20:F20" si="5">IF(C19="SBC",12*100%/C8,C14)</f>
        <v>14.117647058823529</v>
      </c>
      <c r="D20" s="12">
        <f t="shared" si="5"/>
        <v>14.117647058823529</v>
      </c>
      <c r="E20" s="12">
        <f t="shared" si="5"/>
        <v>14.117647058823529</v>
      </c>
      <c r="F20" s="12">
        <f t="shared" si="5"/>
        <v>14.117647058823529</v>
      </c>
      <c r="G20" s="7" t="s">
        <v>65</v>
      </c>
    </row>
    <row r="21" spans="1:7" x14ac:dyDescent="0.35">
      <c r="A21" s="10">
        <f t="shared" si="4"/>
        <v>4</v>
      </c>
      <c r="B21" s="11" t="s">
        <v>32</v>
      </c>
      <c r="C21" s="16">
        <f t="shared" ref="C21:F21" si="6">C18*C20</f>
        <v>19137.377897430288</v>
      </c>
      <c r="D21" s="16">
        <f t="shared" si="6"/>
        <v>6223.0581881572243</v>
      </c>
      <c r="E21" s="16">
        <f t="shared" si="6"/>
        <v>8542.3217128712695</v>
      </c>
      <c r="F21" s="16">
        <f t="shared" si="6"/>
        <v>4270.8514158370008</v>
      </c>
      <c r="G21" s="7"/>
    </row>
    <row r="22" spans="1:7" x14ac:dyDescent="0.35">
      <c r="A22" s="10">
        <f t="shared" si="4"/>
        <v>5</v>
      </c>
      <c r="B22" s="11" t="s">
        <v>3</v>
      </c>
      <c r="C22" s="33" t="str">
        <f t="shared" ref="C22:F22" si="7">IF(C19="SBC","44895.46","3228.75")</f>
        <v>44895.46</v>
      </c>
      <c r="D22" s="33" t="str">
        <f t="shared" si="7"/>
        <v>44895.46</v>
      </c>
      <c r="E22" s="33" t="str">
        <f t="shared" si="7"/>
        <v>44895.46</v>
      </c>
      <c r="F22" s="33" t="str">
        <f t="shared" si="7"/>
        <v>44895.46</v>
      </c>
      <c r="G22" s="7"/>
    </row>
    <row r="23" spans="1:7" x14ac:dyDescent="0.35">
      <c r="A23" s="10">
        <f t="shared" si="4"/>
        <v>6</v>
      </c>
      <c r="B23" s="11" t="s">
        <v>33</v>
      </c>
      <c r="C23" s="16">
        <f t="shared" ref="C23:F23" si="8">C22*C21/10^7</f>
        <v>85.918138389896555</v>
      </c>
      <c r="D23" s="16">
        <f t="shared" si="8"/>
        <v>27.938705996408515</v>
      </c>
      <c r="E23" s="16">
        <f t="shared" si="8"/>
        <v>38.351146276734362</v>
      </c>
      <c r="F23" s="16">
        <f t="shared" si="8"/>
        <v>19.174183890565342</v>
      </c>
      <c r="G23" s="7"/>
    </row>
    <row r="24" spans="1:7" x14ac:dyDescent="0.35">
      <c r="A24" s="7"/>
      <c r="B24" s="14"/>
      <c r="C24" s="7"/>
      <c r="D24" s="7"/>
      <c r="E24" s="7"/>
      <c r="F24" s="7"/>
      <c r="G24" s="7"/>
    </row>
    <row r="25" spans="1:7" x14ac:dyDescent="0.35">
      <c r="A25" s="7"/>
      <c r="B25" s="14"/>
      <c r="C25" s="7"/>
      <c r="D25" s="7"/>
      <c r="E25" s="7"/>
      <c r="F25" s="7"/>
      <c r="G25" s="7"/>
    </row>
    <row r="26" spans="1:7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</row>
    <row r="27" spans="1:7" x14ac:dyDescent="0.35">
      <c r="A27" s="10">
        <v>1</v>
      </c>
      <c r="B27" s="11" t="s">
        <v>30</v>
      </c>
      <c r="C27" s="17">
        <f t="shared" ref="C27:F27" si="9">C18</f>
        <v>1355.5642677346455</v>
      </c>
      <c r="D27" s="17">
        <f t="shared" si="9"/>
        <v>440.79995499447006</v>
      </c>
      <c r="E27" s="17">
        <f t="shared" si="9"/>
        <v>605.08112132838164</v>
      </c>
      <c r="F27" s="17">
        <f t="shared" si="9"/>
        <v>302.51864195512087</v>
      </c>
      <c r="G27" s="7"/>
    </row>
    <row r="28" spans="1:7" x14ac:dyDescent="0.35">
      <c r="A28" s="10">
        <f>A27+1</f>
        <v>2</v>
      </c>
      <c r="B28" s="11" t="s">
        <v>2</v>
      </c>
      <c r="C28" s="7" t="str">
        <f>'[2]FY 24-25 H2'!O1465</f>
        <v>Ammonia</v>
      </c>
      <c r="D28" s="7" t="str">
        <f>'[2]FY 24-25 H2'!I1465</f>
        <v>Ammonia</v>
      </c>
      <c r="E28" s="7" t="str">
        <f>'[2]FY 24-25 H2'!M1465</f>
        <v>Ammonia</v>
      </c>
      <c r="F28" s="7" t="str">
        <f>'[2]FY 24-25 H2'!O1465</f>
        <v>Ammonia</v>
      </c>
      <c r="G28" s="7"/>
    </row>
    <row r="29" spans="1:7" x14ac:dyDescent="0.35">
      <c r="A29" s="10">
        <f t="shared" ref="A29:A32" si="10">A28+1</f>
        <v>3</v>
      </c>
      <c r="B29" s="11" t="s">
        <v>35</v>
      </c>
      <c r="C29" s="7">
        <f>'[2]FY 24-25 H2'!O1466</f>
        <v>0.6</v>
      </c>
      <c r="D29" s="7">
        <f>'[2]FY 24-25 H2'!I1466</f>
        <v>0.6</v>
      </c>
      <c r="E29" s="7">
        <f>'[2]FY 24-25 H2'!M1466</f>
        <v>0.6</v>
      </c>
      <c r="F29" s="7">
        <f>'[2]FY 24-25 H2'!O1466</f>
        <v>0.6</v>
      </c>
      <c r="G29" s="7"/>
    </row>
    <row r="30" spans="1:7" x14ac:dyDescent="0.35">
      <c r="A30" s="10">
        <f t="shared" si="10"/>
        <v>4</v>
      </c>
      <c r="B30" s="11" t="s">
        <v>36</v>
      </c>
      <c r="C30" s="16">
        <f t="shared" ref="C30:F30" si="11">C27*C29</f>
        <v>813.33856064078725</v>
      </c>
      <c r="D30" s="16">
        <f t="shared" si="11"/>
        <v>264.47997299668202</v>
      </c>
      <c r="E30" s="16">
        <f t="shared" si="11"/>
        <v>363.04867279702898</v>
      </c>
      <c r="F30" s="16">
        <f t="shared" si="11"/>
        <v>181.5111851730725</v>
      </c>
      <c r="G30" s="7"/>
    </row>
    <row r="31" spans="1:7" x14ac:dyDescent="0.35">
      <c r="A31" s="10">
        <f t="shared" si="10"/>
        <v>5</v>
      </c>
      <c r="B31" s="11" t="s">
        <v>37</v>
      </c>
      <c r="C31" s="34">
        <f>'[2]FY 24-25 H2'!$O$1468</f>
        <v>116.82</v>
      </c>
      <c r="D31" s="34">
        <f>'[2]FY 24-25 H2'!$I$1468</f>
        <v>116.82</v>
      </c>
      <c r="E31" s="34">
        <f>'[2]FY 24-25 H2'!$M$1468</f>
        <v>116.82</v>
      </c>
      <c r="F31" s="35">
        <f>'[2]FY 24-25 H2'!$N$1468</f>
        <v>116.82</v>
      </c>
      <c r="G31" s="7"/>
    </row>
    <row r="32" spans="1:7" x14ac:dyDescent="0.35">
      <c r="A32" s="10">
        <f t="shared" si="10"/>
        <v>6</v>
      </c>
      <c r="B32" s="11" t="s">
        <v>38</v>
      </c>
      <c r="C32" s="16">
        <f t="shared" ref="C32:F32" si="12">C31*C30/10^7</f>
        <v>9.5014210654056769E-3</v>
      </c>
      <c r="D32" s="16">
        <f t="shared" si="12"/>
        <v>3.0896550445472393E-3</v>
      </c>
      <c r="E32" s="16">
        <f t="shared" si="12"/>
        <v>4.2411345956148922E-3</v>
      </c>
      <c r="F32" s="16">
        <f t="shared" si="12"/>
        <v>2.1204136651918329E-3</v>
      </c>
      <c r="G32" s="7"/>
    </row>
    <row r="33" spans="1:7" x14ac:dyDescent="0.35">
      <c r="A33" s="7"/>
      <c r="B33" s="7"/>
      <c r="C33" s="7"/>
      <c r="D33" s="7"/>
      <c r="E33" s="7"/>
      <c r="F33" s="7"/>
      <c r="G33" s="7"/>
    </row>
    <row r="34" spans="1:7" ht="29" x14ac:dyDescent="0.35">
      <c r="A34" s="19"/>
      <c r="B34" s="20" t="s">
        <v>40</v>
      </c>
      <c r="C34" s="21">
        <f>C23+C32</f>
        <v>85.927639810961963</v>
      </c>
      <c r="D34" s="21">
        <f t="shared" ref="D34:F34" si="13">D23+D32</f>
        <v>27.941795651453063</v>
      </c>
      <c r="E34" s="21">
        <f t="shared" si="13"/>
        <v>38.355387411329978</v>
      </c>
      <c r="F34" s="21">
        <f t="shared" si="13"/>
        <v>19.176304304230534</v>
      </c>
      <c r="G3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workbookViewId="0">
      <pane xSplit="2" ySplit="3" topLeftCell="H13" activePane="bottomRight" state="frozen"/>
      <selection pane="topRight" activeCell="C1" sqref="C1"/>
      <selection pane="bottomLeft" activeCell="A3" sqref="A3"/>
      <selection pane="bottomRight" activeCell="R3" sqref="R3:R20"/>
    </sheetView>
  </sheetViews>
  <sheetFormatPr defaultRowHeight="14.5" x14ac:dyDescent="0.35"/>
  <cols>
    <col min="1" max="1" width="8.7265625" style="5"/>
    <col min="2" max="2" width="28.1796875" style="5" bestFit="1" customWidth="1"/>
    <col min="3" max="15" width="10.08984375" style="5" bestFit="1" customWidth="1"/>
    <col min="16" max="16" width="8.90625" style="5" bestFit="1" customWidth="1"/>
    <col min="17" max="17" width="10.08984375" style="5" bestFit="1" customWidth="1"/>
    <col min="18" max="18" width="18.90625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B2" s="5" t="s">
        <v>61</v>
      </c>
      <c r="C2" s="36">
        <v>45808</v>
      </c>
      <c r="D2" s="36">
        <v>45808</v>
      </c>
      <c r="E2" s="36">
        <v>45565</v>
      </c>
      <c r="F2" s="36">
        <v>45596</v>
      </c>
      <c r="G2" s="36">
        <v>45838</v>
      </c>
      <c r="H2" s="36">
        <v>45688</v>
      </c>
      <c r="I2" s="36">
        <v>46477</v>
      </c>
      <c r="J2" s="36">
        <v>46477</v>
      </c>
      <c r="K2" s="36">
        <v>46568</v>
      </c>
      <c r="L2" s="36">
        <v>46387</v>
      </c>
      <c r="M2" s="36">
        <v>46477</v>
      </c>
      <c r="N2" s="36">
        <v>46568</v>
      </c>
      <c r="O2" s="36">
        <v>46691</v>
      </c>
      <c r="P2" s="36">
        <v>46568</v>
      </c>
      <c r="Q2" s="36">
        <v>45688</v>
      </c>
    </row>
    <row r="3" spans="1:18" s="23" customFormat="1" ht="43.5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'[2]FY 25-26'!E913</f>
        <v>2688</v>
      </c>
      <c r="D4" s="1">
        <f>'[2]FY 25-26'!F913</f>
        <v>2630</v>
      </c>
      <c r="E4" s="1">
        <f>'[2]FY 25-26'!G913</f>
        <v>2630</v>
      </c>
      <c r="F4" s="1">
        <f>'[2]FY 25-26'!H913</f>
        <v>2455.75</v>
      </c>
      <c r="G4" s="1">
        <f>'[2]FY 25-26'!J913</f>
        <v>2415</v>
      </c>
      <c r="H4" s="1">
        <f>'[2]FY 25-26'!K913</f>
        <v>2415</v>
      </c>
      <c r="I4" s="1">
        <f>'[2]FY 25-26'!L913</f>
        <v>2375</v>
      </c>
      <c r="J4" s="1">
        <f>'[2]FY 25-26'!M913</f>
        <v>2375</v>
      </c>
      <c r="K4" s="1">
        <f>'[2]FY 25-26'!N913</f>
        <v>2375</v>
      </c>
      <c r="L4" s="1">
        <f>'[2]FY 25-26'!O913</f>
        <v>2230</v>
      </c>
      <c r="M4" s="1">
        <f>'[2]FY 25-26'!P913</f>
        <v>2230</v>
      </c>
      <c r="N4" s="1">
        <f>'[2]FY 25-26'!Q913</f>
        <v>2230</v>
      </c>
      <c r="O4" s="1">
        <f>'[2]FY 25-26'!R913</f>
        <v>2688</v>
      </c>
      <c r="P4" s="1">
        <f>'[2]FY 25-26'!S913</f>
        <v>2375</v>
      </c>
      <c r="Q4" s="1">
        <f>'[2]FY 25-26'!T913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'[2]FY 25-26'!E914</f>
        <v>3398.5039676822794</v>
      </c>
      <c r="D5" s="8">
        <f>'[2]FY 25-26'!F914</f>
        <v>3322.8996935339906</v>
      </c>
      <c r="E5" s="8">
        <f>'[2]FY 25-26'!G914</f>
        <v>3322.8996935339906</v>
      </c>
      <c r="F5" s="8">
        <f>'[2]FY 25-26'!H914</f>
        <v>3393.410731642733</v>
      </c>
      <c r="G5" s="8">
        <f>'[2]FY 25-26'!J914</f>
        <v>3337.7776913961407</v>
      </c>
      <c r="H5" s="8">
        <f>'[2]FY 25-26'!K914</f>
        <v>3202.9549429182944</v>
      </c>
      <c r="I5" s="8">
        <f>'[2]FY 25-26'!L914</f>
        <v>3378.4651760094739</v>
      </c>
      <c r="J5" s="8">
        <f>'[2]FY 25-26'!M914</f>
        <v>3363.6323183458312</v>
      </c>
      <c r="K5" s="8">
        <f>'[2]FY 25-26'!N914</f>
        <v>3363.6323183458312</v>
      </c>
      <c r="L5" s="8">
        <f>'[2]FY 25-26'!O914</f>
        <v>3592.5241335479395</v>
      </c>
      <c r="M5" s="8">
        <f>'[2]FY 25-26'!P914</f>
        <v>3592.5241335479395</v>
      </c>
      <c r="N5" s="8">
        <f>'[2]FY 25-26'!Q914</f>
        <v>3592.5241335479395</v>
      </c>
      <c r="O5" s="8">
        <f>'[2]FY 25-26'!R914</f>
        <v>3398.5039676822794</v>
      </c>
      <c r="P5" s="8">
        <f>'[2]FY 25-26'!S914</f>
        <v>3425.7198009319522</v>
      </c>
      <c r="Q5" s="8">
        <f>'[2]FY 25-26'!T914</f>
        <v>3208.1179839098054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'[2]FY 25-26'!E915</f>
        <v>3313.5039676822794</v>
      </c>
      <c r="D6" s="8">
        <f>'[2]FY 25-26'!F915</f>
        <v>3237.8996935339906</v>
      </c>
      <c r="E6" s="8">
        <f>'[2]FY 25-26'!G915</f>
        <v>3237.8996935339906</v>
      </c>
      <c r="F6" s="8">
        <f>'[2]FY 25-26'!H915</f>
        <v>3308.410731642733</v>
      </c>
      <c r="G6" s="8">
        <f>'[2]FY 25-26'!J915</f>
        <v>3252.7776913961407</v>
      </c>
      <c r="H6" s="8">
        <f>'[2]FY 25-26'!K915</f>
        <v>3117.9549429182944</v>
      </c>
      <c r="I6" s="8">
        <f>'[2]FY 25-26'!L915</f>
        <v>3293.4651760094739</v>
      </c>
      <c r="J6" s="8">
        <f>'[2]FY 25-26'!M915</f>
        <v>3278.6323183458312</v>
      </c>
      <c r="K6" s="8">
        <f>'[2]FY 25-26'!N915</f>
        <v>3278.6323183458312</v>
      </c>
      <c r="L6" s="8">
        <f>'[2]FY 25-26'!O915</f>
        <v>3507.5241335479395</v>
      </c>
      <c r="M6" s="8">
        <f>'[2]FY 25-26'!P915</f>
        <v>3507.5241335479395</v>
      </c>
      <c r="N6" s="8">
        <f>'[2]FY 25-26'!Q915</f>
        <v>3507.5241335479395</v>
      </c>
      <c r="O6" s="8">
        <f>'[2]FY 25-26'!R915</f>
        <v>3313.5039676822794</v>
      </c>
      <c r="P6" s="8">
        <f>'[2]FY 25-26'!S915</f>
        <v>3340.7198009319522</v>
      </c>
      <c r="Q6" s="8">
        <f>'[2]FY 25-26'!T915</f>
        <v>3123.1179839098054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'[2]FY 25-26'!E916</f>
        <v>7.4999999999999997E-3</v>
      </c>
      <c r="D7" s="4">
        <f>'[2]FY 25-26'!F916</f>
        <v>7.4999999999999997E-3</v>
      </c>
      <c r="E7" s="4">
        <f>'[2]FY 25-26'!G916</f>
        <v>7.4999999999999997E-3</v>
      </c>
      <c r="F7" s="4">
        <f>'[2]FY 25-26'!H916</f>
        <v>7.4999999999999997E-3</v>
      </c>
      <c r="G7" s="4">
        <f>'[2]FY 25-26'!J916</f>
        <v>1.1299999999999999E-2</v>
      </c>
      <c r="H7" s="4">
        <f>'[2]FY 25-26'!K916</f>
        <v>7.4999999999999997E-3</v>
      </c>
      <c r="I7" s="4">
        <f>'[2]FY 25-26'!L916</f>
        <v>7.4999999999999997E-3</v>
      </c>
      <c r="J7" s="4">
        <f>'[2]FY 25-26'!M916</f>
        <v>7.4999999999999997E-3</v>
      </c>
      <c r="K7" s="4">
        <f>'[2]FY 25-26'!N916</f>
        <v>7.4999999999999997E-3</v>
      </c>
      <c r="L7" s="4">
        <f>'[2]FY 25-26'!O916</f>
        <v>7.4999999999999997E-3</v>
      </c>
      <c r="M7" s="4">
        <f>'[2]FY 25-26'!P916</f>
        <v>7.4999999999999997E-3</v>
      </c>
      <c r="N7" s="4">
        <f>'[2]FY 25-26'!Q916</f>
        <v>7.4999999999999997E-3</v>
      </c>
      <c r="O7" s="4">
        <f>'[2]FY 25-26'!R916</f>
        <v>7.4999999999999997E-3</v>
      </c>
      <c r="P7" s="4">
        <f>'[2]FY 25-26'!S916</f>
        <v>5.0000000000000001E-3</v>
      </c>
      <c r="Q7" s="4">
        <f>'[2]FY 25-26'!T916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'[2]FY 25-26'!E917</f>
        <v>0.85</v>
      </c>
      <c r="D8" s="4">
        <f>'[2]FY 25-26'!F917</f>
        <v>0.85</v>
      </c>
      <c r="E8" s="4">
        <f>'[2]FY 25-26'!G917</f>
        <v>0.85</v>
      </c>
      <c r="F8" s="4">
        <f>'[2]FY 25-26'!H917</f>
        <v>0.85</v>
      </c>
      <c r="G8" s="4">
        <f>'[2]FY 25-26'!J917</f>
        <v>0.89</v>
      </c>
      <c r="H8" s="4">
        <f>'[2]FY 25-26'!K917</f>
        <v>0.85</v>
      </c>
      <c r="I8" s="4">
        <f>'[2]FY 25-26'!L917</f>
        <v>0.89</v>
      </c>
      <c r="J8" s="4">
        <f>'[2]FY 25-26'!M917</f>
        <v>0.89</v>
      </c>
      <c r="K8" s="4">
        <f>'[2]FY 25-26'!N917</f>
        <v>0.89</v>
      </c>
      <c r="L8" s="4">
        <f>'[2]FY 25-26'!O917</f>
        <v>0.89</v>
      </c>
      <c r="M8" s="4">
        <f>'[2]FY 25-26'!P917</f>
        <v>0.89</v>
      </c>
      <c r="N8" s="4">
        <f>'[2]FY 25-26'!Q917</f>
        <v>0.89</v>
      </c>
      <c r="O8" s="4">
        <f>'[2]FY 25-26'!R917</f>
        <v>0.89</v>
      </c>
      <c r="P8" s="4">
        <f>'[2]FY 25-26'!S917</f>
        <v>0.89</v>
      </c>
      <c r="Q8" s="4">
        <f>'[2]FY 25-26'!T917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'[2]FY 25-26'!E918</f>
        <v>600</v>
      </c>
      <c r="D9" s="8">
        <f>'[2]FY 25-26'!F918</f>
        <v>600</v>
      </c>
      <c r="E9" s="8">
        <f>'[2]FY 25-26'!G918</f>
        <v>600</v>
      </c>
      <c r="F9" s="8">
        <f>'[2]FY 25-26'!H918</f>
        <v>600</v>
      </c>
      <c r="G9" s="8">
        <f>'[2]FY 25-26'!J918</f>
        <v>600</v>
      </c>
      <c r="H9" s="8">
        <f>'[2]FY 25-26'!K918</f>
        <v>600</v>
      </c>
      <c r="I9" s="8">
        <f>'[2]FY 25-26'!L918</f>
        <v>200</v>
      </c>
      <c r="J9" s="8">
        <f>'[2]FY 25-26'!M918</f>
        <v>200</v>
      </c>
      <c r="K9" s="8">
        <f>'[2]FY 25-26'!N918</f>
        <v>200</v>
      </c>
      <c r="L9" s="8">
        <f>'[2]FY 25-26'!O918</f>
        <v>200</v>
      </c>
      <c r="M9" s="8">
        <f>'[2]FY 25-26'!P918</f>
        <v>200</v>
      </c>
      <c r="N9" s="8">
        <f>'[2]FY 25-26'!Q918</f>
        <v>200</v>
      </c>
      <c r="O9" s="8">
        <f>'[2]FY 25-26'!R918</f>
        <v>200</v>
      </c>
      <c r="P9" s="8">
        <f>'[2]FY 25-26'!S918</f>
        <v>200</v>
      </c>
      <c r="Q9" s="8">
        <f>'[2]FY 25-26'!T918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'[2]FY 25-26'!E919</f>
        <v>0.73</v>
      </c>
      <c r="D10" s="4">
        <f>'[2]FY 25-26'!F919</f>
        <v>0.73</v>
      </c>
      <c r="E10" s="4">
        <f>'[2]FY 25-26'!G919</f>
        <v>0.73</v>
      </c>
      <c r="F10" s="4">
        <f>'[2]FY 25-26'!H919</f>
        <v>0.73</v>
      </c>
      <c r="G10" s="4">
        <f>'[2]FY 25-26'!J919</f>
        <v>0.73</v>
      </c>
      <c r="H10" s="4">
        <f>'[2]FY 25-26'!K919</f>
        <v>0.73</v>
      </c>
      <c r="I10" s="4">
        <f>'[2]FY 25-26'!L919</f>
        <v>0.95</v>
      </c>
      <c r="J10" s="4">
        <f>'[2]FY 25-26'!M919</f>
        <v>0.95</v>
      </c>
      <c r="K10" s="4">
        <f>'[2]FY 25-26'!N919</f>
        <v>0.95</v>
      </c>
      <c r="L10" s="4">
        <f>'[2]FY 25-26'!O919</f>
        <v>0.95</v>
      </c>
      <c r="M10" s="4">
        <f>'[2]FY 25-26'!P919</f>
        <v>0.95</v>
      </c>
      <c r="N10" s="4">
        <f>'[2]FY 25-26'!Q919</f>
        <v>0.95</v>
      </c>
      <c r="O10" s="4">
        <f>'[2]FY 25-26'!R919</f>
        <v>0.95</v>
      </c>
      <c r="P10" s="4">
        <f>'[2]FY 25-26'!S919</f>
        <v>0.95</v>
      </c>
      <c r="Q10" s="4">
        <f>'[2]FY 25-26'!T919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'[2]FY 25-26'!E921</f>
        <v>0.67</v>
      </c>
      <c r="D12" s="18">
        <f>'[2]FY 25-26'!F921</f>
        <v>0.67</v>
      </c>
      <c r="E12" s="18">
        <f>'[2]FY 25-26'!G921</f>
        <v>0.67</v>
      </c>
      <c r="F12" s="18">
        <f>'[2]FY 25-26'!H921</f>
        <v>0.67</v>
      </c>
      <c r="G12" s="18">
        <f>'[2]FY 25-26'!J921</f>
        <v>0.75</v>
      </c>
      <c r="H12" s="18">
        <f>'[2]FY 25-26'!K921</f>
        <v>0.67</v>
      </c>
      <c r="I12" s="18">
        <f>'[2]FY 25-26'!L921</f>
        <v>0.95</v>
      </c>
      <c r="J12" s="18">
        <f>'[2]FY 25-26'!M921</f>
        <v>0.95</v>
      </c>
      <c r="K12" s="18">
        <f>'[2]FY 25-26'!N921</f>
        <v>0.95</v>
      </c>
      <c r="L12" s="18">
        <f>'[2]FY 25-26'!O921</f>
        <v>0.95</v>
      </c>
      <c r="M12" s="18">
        <f>'[2]FY 25-26'!P921</f>
        <v>0.95</v>
      </c>
      <c r="N12" s="18">
        <f>'[2]FY 25-26'!Q921</f>
        <v>0.95</v>
      </c>
      <c r="O12" s="18">
        <f>'[2]FY 25-26'!R921</f>
        <v>0.95</v>
      </c>
      <c r="P12" s="18">
        <f>'[2]FY 25-26'!S921</f>
        <v>0.95</v>
      </c>
      <c r="Q12" s="18">
        <f>'[2]FY 25-26'!T921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14.965449625525725</v>
      </c>
      <c r="D14" s="13">
        <f t="shared" ref="D14:Q14" si="3">(D13*D4*D7/D6)*(85/D8)</f>
        <v>14.984434504657592</v>
      </c>
      <c r="E14" s="13">
        <f t="shared" si="3"/>
        <v>14.984434504657592</v>
      </c>
      <c r="F14" s="13">
        <f t="shared" si="3"/>
        <v>13.693445316525587</v>
      </c>
      <c r="G14" s="13">
        <f t="shared" si="3"/>
        <v>22.061920342054297</v>
      </c>
      <c r="H14" s="13">
        <f t="shared" si="3"/>
        <v>14.288784952592678</v>
      </c>
      <c r="I14" s="13">
        <f t="shared" si="3"/>
        <v>18.182072459155659</v>
      </c>
      <c r="J14" s="13">
        <f t="shared" si="3"/>
        <v>18.264329957597191</v>
      </c>
      <c r="K14" s="13">
        <f t="shared" si="3"/>
        <v>18.264329957597191</v>
      </c>
      <c r="L14" s="13">
        <f t="shared" si="3"/>
        <v>16.03012987935065</v>
      </c>
      <c r="M14" s="13">
        <f t="shared" si="3"/>
        <v>16.03012987935065</v>
      </c>
      <c r="N14" s="13">
        <f t="shared" si="3"/>
        <v>16.03012987935065</v>
      </c>
      <c r="O14" s="13">
        <f t="shared" si="3"/>
        <v>20.453828743725776</v>
      </c>
      <c r="P14" s="13">
        <f t="shared" si="3"/>
        <v>11.949924176062291</v>
      </c>
      <c r="Q14" s="13">
        <f t="shared" si="3"/>
        <v>14.265163180117479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'[2]FY 25-26'!E927</f>
        <v>2451.6331522532701</v>
      </c>
      <c r="D18" s="16">
        <f>'[2]FY 25-26'!F927</f>
        <v>2299.3447396958545</v>
      </c>
      <c r="E18" s="16">
        <f>'[2]FY 25-26'!G927</f>
        <v>2760.7264144374567</v>
      </c>
      <c r="F18" s="16">
        <f>'[2]FY 25-26'!H927</f>
        <v>1379.6326949003048</v>
      </c>
      <c r="G18" s="16">
        <f>'[2]FY 25-26'!J927</f>
        <v>2794.6923382396867</v>
      </c>
      <c r="H18" s="16">
        <f>'[2]FY 25-26'!K927</f>
        <v>3722.9078864412627</v>
      </c>
      <c r="I18" s="16">
        <f>'[2]FY 25-26'!L927</f>
        <v>0</v>
      </c>
      <c r="J18" s="16">
        <f>'[2]FY 25-26'!M927</f>
        <v>0</v>
      </c>
      <c r="K18" s="16">
        <f>'[2]FY 25-26'!N927</f>
        <v>0</v>
      </c>
      <c r="L18" s="16">
        <f>'[2]FY 25-26'!O927</f>
        <v>0</v>
      </c>
      <c r="M18" s="16">
        <f>'[2]FY 25-26'!P927</f>
        <v>0</v>
      </c>
      <c r="N18" s="16">
        <f>'[2]FY 25-26'!Q927</f>
        <v>0</v>
      </c>
      <c r="O18" s="16">
        <f>'[2]FY 25-26'!R927</f>
        <v>0</v>
      </c>
      <c r="P18" s="16">
        <f>'[2]FY 25-26'!S927</f>
        <v>0</v>
      </c>
      <c r="Q18" s="16">
        <f>'[2]FY 25-26'!T927</f>
        <v>1861.41458341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'[2]FY 25-26'!E928</f>
        <v>SBC</v>
      </c>
      <c r="D19" s="15" t="str">
        <f>'[2]FY 25-26'!F928</f>
        <v>SBC</v>
      </c>
      <c r="E19" s="15" t="str">
        <f>'[2]FY 25-26'!G928</f>
        <v>SBC</v>
      </c>
      <c r="F19" s="15" t="str">
        <f>'[2]FY 25-26'!H928</f>
        <v>SBC</v>
      </c>
      <c r="G19" s="15" t="str">
        <f>'[2]FY 25-26'!J928</f>
        <v>Limestone</v>
      </c>
      <c r="H19" s="15" t="str">
        <f>'[2]FY 25-26'!K928</f>
        <v>SBC</v>
      </c>
      <c r="I19" s="15" t="str">
        <f>'[2]FY 25-26'!L928</f>
        <v>Limestone</v>
      </c>
      <c r="J19" s="15" t="str">
        <f>'[2]FY 25-26'!M928</f>
        <v>Limestone</v>
      </c>
      <c r="K19" s="15" t="str">
        <f>'[2]FY 25-26'!N928</f>
        <v>Limestone</v>
      </c>
      <c r="L19" s="15" t="str">
        <f>'[2]FY 25-26'!O928</f>
        <v>Limestone</v>
      </c>
      <c r="M19" s="15" t="str">
        <f>'[2]FY 25-26'!P928</f>
        <v>Limestone</v>
      </c>
      <c r="N19" s="15" t="str">
        <f>'[2]FY 25-26'!Q928</f>
        <v>Limestone</v>
      </c>
      <c r="O19" s="15" t="str">
        <f>'[2]FY 25-26'!R928</f>
        <v>Limestone</v>
      </c>
      <c r="P19" s="15" t="str">
        <f>'[2]FY 25-26'!S928</f>
        <v>Limestone</v>
      </c>
      <c r="Q19" s="15" t="str">
        <f>'[2]FY 25-26'!T928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22.061920342054297</v>
      </c>
      <c r="H20" s="12">
        <f t="shared" si="5"/>
        <v>14.117647058823529</v>
      </c>
      <c r="I20" s="12">
        <f t="shared" si="5"/>
        <v>18.182072459155659</v>
      </c>
      <c r="J20" s="12">
        <f t="shared" si="5"/>
        <v>18.264329957597191</v>
      </c>
      <c r="K20" s="12">
        <f t="shared" si="5"/>
        <v>18.264329957597191</v>
      </c>
      <c r="L20" s="12">
        <f t="shared" si="5"/>
        <v>16.03012987935065</v>
      </c>
      <c r="M20" s="12">
        <f t="shared" si="5"/>
        <v>16.03012987935065</v>
      </c>
      <c r="N20" s="12">
        <f t="shared" si="5"/>
        <v>16.03012987935065</v>
      </c>
      <c r="O20" s="12">
        <f t="shared" si="5"/>
        <v>20.453828743725776</v>
      </c>
      <c r="P20" s="12">
        <f t="shared" si="5"/>
        <v>11.949924176062291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34611.291561222635</v>
      </c>
      <c r="D21" s="16">
        <f t="shared" si="6"/>
        <v>32461.337501588532</v>
      </c>
      <c r="E21" s="16">
        <f t="shared" si="6"/>
        <v>38974.96114499939</v>
      </c>
      <c r="F21" s="16">
        <f t="shared" si="6"/>
        <v>19477.167457416068</v>
      </c>
      <c r="G21" s="16">
        <f t="shared" si="6"/>
        <v>61656.279746793429</v>
      </c>
      <c r="H21" s="16">
        <f t="shared" si="6"/>
        <v>52558.69957328841</v>
      </c>
      <c r="I21" s="16">
        <f t="shared" si="6"/>
        <v>0</v>
      </c>
      <c r="J21" s="16">
        <f t="shared" si="6"/>
        <v>0</v>
      </c>
      <c r="K21" s="16">
        <f t="shared" si="6"/>
        <v>0</v>
      </c>
      <c r="L21" s="16">
        <f t="shared" si="6"/>
        <v>0</v>
      </c>
      <c r="M21" s="16">
        <f t="shared" si="6"/>
        <v>0</v>
      </c>
      <c r="N21" s="16">
        <f t="shared" si="6"/>
        <v>0</v>
      </c>
      <c r="O21" s="16">
        <f t="shared" si="6"/>
        <v>0</v>
      </c>
      <c r="P21" s="16">
        <f t="shared" si="6"/>
        <v>0</v>
      </c>
      <c r="Q21" s="16">
        <f t="shared" si="6"/>
        <v>26278.794118729409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x14ac:dyDescent="0.35">
      <c r="A23" s="10">
        <f t="shared" si="4"/>
        <v>6</v>
      </c>
      <c r="B23" s="11" t="s">
        <v>33</v>
      </c>
      <c r="C23" s="16">
        <f>C22*C21/10^7</f>
        <v>155.38898558352085</v>
      </c>
      <c r="D23" s="16">
        <f t="shared" ref="D23:Q23" si="8">D22*D21/10^7</f>
        <v>145.73666793490679</v>
      </c>
      <c r="E23" s="16">
        <f t="shared" si="8"/>
        <v>174.97988090868742</v>
      </c>
      <c r="F23" s="16">
        <f t="shared" si="8"/>
        <v>87.443639249772474</v>
      </c>
      <c r="G23" s="16">
        <f t="shared" si="8"/>
        <v>19.907271323245929</v>
      </c>
      <c r="H23" s="16">
        <f t="shared" si="8"/>
        <v>235.96469943445868</v>
      </c>
      <c r="I23" s="16">
        <f t="shared" si="8"/>
        <v>0</v>
      </c>
      <c r="J23" s="16">
        <f t="shared" si="8"/>
        <v>0</v>
      </c>
      <c r="K23" s="16">
        <f t="shared" si="8"/>
        <v>0</v>
      </c>
      <c r="L23" s="16">
        <f t="shared" si="8"/>
        <v>0</v>
      </c>
      <c r="M23" s="16">
        <f t="shared" si="8"/>
        <v>0</v>
      </c>
      <c r="N23" s="16">
        <f t="shared" si="8"/>
        <v>0</v>
      </c>
      <c r="O23" s="16">
        <f t="shared" si="8"/>
        <v>0</v>
      </c>
      <c r="P23" s="16">
        <f t="shared" si="8"/>
        <v>0</v>
      </c>
      <c r="Q23" s="16">
        <f t="shared" si="8"/>
        <v>117.97985502056515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2451.6331522532701</v>
      </c>
      <c r="D27" s="17">
        <f t="shared" ref="D27:Q27" si="9">D18</f>
        <v>2299.3447396958545</v>
      </c>
      <c r="E27" s="17">
        <f t="shared" si="9"/>
        <v>2760.7264144374567</v>
      </c>
      <c r="F27" s="17">
        <f t="shared" si="9"/>
        <v>1379.6326949003048</v>
      </c>
      <c r="G27" s="17">
        <f t="shared" si="9"/>
        <v>2794.6923382396867</v>
      </c>
      <c r="H27" s="17">
        <f t="shared" si="9"/>
        <v>3722.9078864412627</v>
      </c>
      <c r="I27" s="17">
        <f t="shared" si="9"/>
        <v>0</v>
      </c>
      <c r="J27" s="17">
        <f t="shared" si="9"/>
        <v>0</v>
      </c>
      <c r="K27" s="17">
        <f t="shared" si="9"/>
        <v>0</v>
      </c>
      <c r="L27" s="17">
        <f t="shared" si="9"/>
        <v>0</v>
      </c>
      <c r="M27" s="17">
        <f t="shared" si="9"/>
        <v>0</v>
      </c>
      <c r="N27" s="17">
        <f t="shared" si="9"/>
        <v>0</v>
      </c>
      <c r="O27" s="17">
        <f t="shared" si="9"/>
        <v>0</v>
      </c>
      <c r="P27" s="17">
        <f t="shared" si="9"/>
        <v>0</v>
      </c>
      <c r="Q27" s="17">
        <f t="shared" si="9"/>
        <v>1861.41458341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'[2]FY 25-26'!E937</f>
        <v>Ammonia</v>
      </c>
      <c r="D28" s="7" t="str">
        <f>'[2]FY 25-26'!F937</f>
        <v>Ammonia</v>
      </c>
      <c r="E28" s="7" t="str">
        <f>'[2]FY 25-26'!G937</f>
        <v>Ammonia</v>
      </c>
      <c r="F28" s="7" t="str">
        <f>'[2]FY 25-26'!H937</f>
        <v>Ammonia</v>
      </c>
      <c r="G28" s="7" t="str">
        <f>'[2]FY 25-26'!J937</f>
        <v>Ammonia</v>
      </c>
      <c r="H28" s="7" t="str">
        <f>'[2]FY 25-26'!K937</f>
        <v>Ammonia</v>
      </c>
      <c r="I28" s="7" t="str">
        <f>'[2]FY 25-26'!L937</f>
        <v>Ammonia</v>
      </c>
      <c r="J28" s="7" t="str">
        <f>'[2]FY 25-26'!M937</f>
        <v>Ammonia</v>
      </c>
      <c r="K28" s="7" t="str">
        <f>'[2]FY 25-26'!N937</f>
        <v>Ammonia</v>
      </c>
      <c r="L28" s="7" t="str">
        <f>'[2]FY 25-26'!O937</f>
        <v>Ammonia</v>
      </c>
      <c r="M28" s="7" t="str">
        <f>'[2]FY 25-26'!P937</f>
        <v>Ammonia</v>
      </c>
      <c r="N28" s="7" t="str">
        <f>'[2]FY 25-26'!Q937</f>
        <v>Ammonia</v>
      </c>
      <c r="O28" s="7" t="str">
        <f>'[2]FY 25-26'!R937</f>
        <v>Ammonia</v>
      </c>
      <c r="P28" s="7" t="str">
        <f>'[2]FY 25-26'!S937</f>
        <v>Ammonia</v>
      </c>
      <c r="Q28" s="7" t="str">
        <f>'[2]FY 25-26'!T937</f>
        <v>Ammonia</v>
      </c>
      <c r="R28" s="7"/>
    </row>
    <row r="29" spans="1:18" x14ac:dyDescent="0.35">
      <c r="A29" s="10">
        <f t="shared" ref="A29:A32" si="10">A28+1</f>
        <v>3</v>
      </c>
      <c r="B29" s="11" t="s">
        <v>35</v>
      </c>
      <c r="C29" s="7">
        <f>'[2]FY 25-26'!E938</f>
        <v>0.6</v>
      </c>
      <c r="D29" s="7">
        <f>'[2]FY 25-26'!F938</f>
        <v>0.6</v>
      </c>
      <c r="E29" s="7">
        <f>'[2]FY 25-26'!G938</f>
        <v>0.6</v>
      </c>
      <c r="F29" s="7">
        <f>'[2]FY 25-26'!H938</f>
        <v>0.6</v>
      </c>
      <c r="G29" s="7">
        <f>'[2]FY 25-26'!J938</f>
        <v>0.6</v>
      </c>
      <c r="H29" s="7">
        <f>'[2]FY 25-26'!K938</f>
        <v>0.6</v>
      </c>
      <c r="I29" s="7">
        <f>'[2]FY 25-26'!L938</f>
        <v>0.6</v>
      </c>
      <c r="J29" s="7">
        <f>'[2]FY 25-26'!M938</f>
        <v>0.6</v>
      </c>
      <c r="K29" s="7">
        <f>'[2]FY 25-26'!N938</f>
        <v>0.6</v>
      </c>
      <c r="L29" s="7">
        <f>'[2]FY 25-26'!O938</f>
        <v>0.6</v>
      </c>
      <c r="M29" s="7">
        <f>'[2]FY 25-26'!P938</f>
        <v>0.6</v>
      </c>
      <c r="N29" s="7">
        <f>'[2]FY 25-26'!Q938</f>
        <v>0.6</v>
      </c>
      <c r="O29" s="7">
        <f>'[2]FY 25-26'!R938</f>
        <v>0.6</v>
      </c>
      <c r="P29" s="7">
        <f>'[2]FY 25-26'!S938</f>
        <v>0.6</v>
      </c>
      <c r="Q29" s="7">
        <f>'[2]FY 25-26'!T938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1470.9798913519619</v>
      </c>
      <c r="D30" s="16">
        <f t="shared" si="11"/>
        <v>1379.6068438175128</v>
      </c>
      <c r="E30" s="16">
        <f t="shared" si="11"/>
        <v>1656.435848662474</v>
      </c>
      <c r="F30" s="16">
        <f t="shared" si="11"/>
        <v>827.7796169401829</v>
      </c>
      <c r="G30" s="16">
        <f t="shared" si="11"/>
        <v>1676.8154029438119</v>
      </c>
      <c r="H30" s="16">
        <f t="shared" si="11"/>
        <v>2233.7447318647573</v>
      </c>
      <c r="I30" s="16">
        <f t="shared" si="11"/>
        <v>0</v>
      </c>
      <c r="J30" s="16">
        <f t="shared" si="11"/>
        <v>0</v>
      </c>
      <c r="K30" s="16">
        <f t="shared" si="11"/>
        <v>0</v>
      </c>
      <c r="L30" s="16">
        <f t="shared" si="11"/>
        <v>0</v>
      </c>
      <c r="M30" s="16">
        <f t="shared" si="11"/>
        <v>0</v>
      </c>
      <c r="N30" s="16">
        <f t="shared" si="11"/>
        <v>0</v>
      </c>
      <c r="O30" s="16">
        <f t="shared" si="11"/>
        <v>0</v>
      </c>
      <c r="P30" s="16">
        <f t="shared" si="11"/>
        <v>0</v>
      </c>
      <c r="Q30" s="16">
        <f t="shared" si="11"/>
        <v>1116.8487500459999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'[2]FY 25-26'!E940</f>
        <v>116.82</v>
      </c>
      <c r="D31" s="7">
        <f>'[2]FY 25-26'!F940</f>
        <v>116.82</v>
      </c>
      <c r="E31" s="7">
        <f>'[2]FY 25-26'!G940</f>
        <v>116.82</v>
      </c>
      <c r="F31" s="7">
        <f>'[2]FY 25-26'!H940</f>
        <v>116.82</v>
      </c>
      <c r="G31" s="7">
        <f>'[2]FY 25-26'!J940</f>
        <v>116.82</v>
      </c>
      <c r="H31" s="7">
        <f>'[2]FY 25-26'!K940</f>
        <v>116.82</v>
      </c>
      <c r="I31" s="7">
        <f>'[2]FY 25-26'!L940</f>
        <v>116.82</v>
      </c>
      <c r="J31" s="7">
        <f>'[2]FY 25-26'!M940</f>
        <v>116.82</v>
      </c>
      <c r="K31" s="7">
        <f>'[2]FY 25-26'!N940</f>
        <v>116.82</v>
      </c>
      <c r="L31" s="7">
        <f>'[2]FY 25-26'!O940</f>
        <v>116.82</v>
      </c>
      <c r="M31" s="7">
        <f>'[2]FY 25-26'!P940</f>
        <v>116.82</v>
      </c>
      <c r="N31" s="7">
        <f>'[2]FY 25-26'!Q940</f>
        <v>116.82</v>
      </c>
      <c r="O31" s="7">
        <f>'[2]FY 25-26'!R940</f>
        <v>116.82</v>
      </c>
      <c r="P31" s="7">
        <f>'[2]FY 25-26'!S940</f>
        <v>116.82</v>
      </c>
      <c r="Q31" s="7">
        <f>'[2]FY 25-26'!T940</f>
        <v>116.82</v>
      </c>
      <c r="R31" s="7"/>
    </row>
    <row r="32" spans="1:18" x14ac:dyDescent="0.35">
      <c r="A32" s="10">
        <f t="shared" si="10"/>
        <v>6</v>
      </c>
      <c r="B32" s="11" t="s">
        <v>38</v>
      </c>
      <c r="C32" s="16">
        <f>C31*C30/10^7</f>
        <v>1.7183987090773619E-2</v>
      </c>
      <c r="D32" s="16">
        <f t="shared" ref="D32:Q32" si="12">D31*D30/10^7</f>
        <v>1.6116567149476183E-2</v>
      </c>
      <c r="E32" s="16">
        <f t="shared" si="12"/>
        <v>1.9350483584075019E-2</v>
      </c>
      <c r="F32" s="16">
        <f t="shared" si="12"/>
        <v>9.670121485095216E-3</v>
      </c>
      <c r="G32" s="16">
        <f t="shared" si="12"/>
        <v>1.9588557537189608E-2</v>
      </c>
      <c r="H32" s="16">
        <f t="shared" si="12"/>
        <v>2.6094605957644096E-2</v>
      </c>
      <c r="I32" s="16">
        <f t="shared" si="12"/>
        <v>0</v>
      </c>
      <c r="J32" s="16">
        <f t="shared" si="12"/>
        <v>0</v>
      </c>
      <c r="K32" s="16">
        <f t="shared" si="12"/>
        <v>0</v>
      </c>
      <c r="L32" s="16">
        <f t="shared" si="12"/>
        <v>0</v>
      </c>
      <c r="M32" s="16">
        <f t="shared" si="12"/>
        <v>0</v>
      </c>
      <c r="N32" s="16">
        <f t="shared" si="12"/>
        <v>0</v>
      </c>
      <c r="O32" s="16">
        <f t="shared" si="12"/>
        <v>0</v>
      </c>
      <c r="P32" s="16">
        <f t="shared" si="12"/>
        <v>0</v>
      </c>
      <c r="Q32" s="16">
        <f t="shared" si="12"/>
        <v>1.3047027098037369E-2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155.40616957061161</v>
      </c>
      <c r="D34" s="21">
        <f t="shared" ref="D34:Q34" si="13">D23+D32</f>
        <v>145.75278450205627</v>
      </c>
      <c r="E34" s="21">
        <f t="shared" si="13"/>
        <v>174.9992313922715</v>
      </c>
      <c r="F34" s="21">
        <f t="shared" si="13"/>
        <v>87.453309371257575</v>
      </c>
      <c r="G34" s="21">
        <f t="shared" si="13"/>
        <v>19.92685988078312</v>
      </c>
      <c r="H34" s="21">
        <f t="shared" si="13"/>
        <v>235.99079404041632</v>
      </c>
      <c r="I34" s="21">
        <f t="shared" si="13"/>
        <v>0</v>
      </c>
      <c r="J34" s="21">
        <f t="shared" si="13"/>
        <v>0</v>
      </c>
      <c r="K34" s="21">
        <f t="shared" si="13"/>
        <v>0</v>
      </c>
      <c r="L34" s="21">
        <f t="shared" si="13"/>
        <v>0</v>
      </c>
      <c r="M34" s="21">
        <f t="shared" si="13"/>
        <v>0</v>
      </c>
      <c r="N34" s="21">
        <f t="shared" si="13"/>
        <v>0</v>
      </c>
      <c r="O34" s="21">
        <f t="shared" si="13"/>
        <v>0</v>
      </c>
      <c r="P34" s="21">
        <f t="shared" si="13"/>
        <v>0</v>
      </c>
      <c r="Q34" s="21">
        <f t="shared" si="13"/>
        <v>117.99290204766319</v>
      </c>
      <c r="R34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A9B1-3F73-4C71-A9CD-47F8B328B38B}">
  <dimension ref="A1:R34"/>
  <sheetViews>
    <sheetView showGridLines="0" workbookViewId="0">
      <pane xSplit="2" ySplit="3" topLeftCell="H4" activePane="bottomRight" state="frozen"/>
      <selection activeCell="Q2" sqref="Q2"/>
      <selection pane="topRight" activeCell="Q2" sqref="Q2"/>
      <selection pane="bottomLeft" activeCell="Q2" sqref="Q2"/>
      <selection pane="bottomRight" activeCell="R3" sqref="R3:R20"/>
    </sheetView>
  </sheetViews>
  <sheetFormatPr defaultRowHeight="14.5" x14ac:dyDescent="0.35"/>
  <cols>
    <col min="1" max="1" width="8.7265625" style="5"/>
    <col min="2" max="2" width="22.1796875" style="5" customWidth="1"/>
    <col min="3" max="17" width="10.08984375" style="5" bestFit="1" customWidth="1"/>
    <col min="18" max="18" width="23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B2" s="5" t="s">
        <v>61</v>
      </c>
      <c r="C2" s="36">
        <f>'25-26'!C2</f>
        <v>45808</v>
      </c>
      <c r="D2" s="36">
        <f>'25-26'!D2</f>
        <v>45808</v>
      </c>
      <c r="E2" s="36">
        <f>'25-26'!E2</f>
        <v>45565</v>
      </c>
      <c r="F2" s="36">
        <f>'25-26'!F2</f>
        <v>45596</v>
      </c>
      <c r="G2" s="36">
        <f>'25-26'!G2</f>
        <v>45838</v>
      </c>
      <c r="H2" s="36">
        <f>'25-26'!H2</f>
        <v>45688</v>
      </c>
      <c r="I2" s="36">
        <f>'25-26'!I2</f>
        <v>46477</v>
      </c>
      <c r="J2" s="36">
        <f>'25-26'!J2</f>
        <v>46477</v>
      </c>
      <c r="K2" s="36">
        <f>'25-26'!K2</f>
        <v>46568</v>
      </c>
      <c r="L2" s="36">
        <f>'25-26'!L2</f>
        <v>46387</v>
      </c>
      <c r="M2" s="36">
        <f>'25-26'!M2</f>
        <v>46477</v>
      </c>
      <c r="N2" s="36">
        <f>'25-26'!N2</f>
        <v>46568</v>
      </c>
      <c r="O2" s="36">
        <f>'25-26'!O2</f>
        <v>46691</v>
      </c>
      <c r="P2" s="36">
        <f>'25-26'!P2</f>
        <v>46568</v>
      </c>
      <c r="Q2" s="36">
        <f>'25-26'!Q2</f>
        <v>45688</v>
      </c>
    </row>
    <row r="3" spans="1:18" s="6" customFormat="1" ht="29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'[2]FY 26-27'!E913</f>
        <v>2688</v>
      </c>
      <c r="D4" s="1">
        <f>'[2]FY 26-27'!F913</f>
        <v>2630</v>
      </c>
      <c r="E4" s="1">
        <f>'[2]FY 26-27'!G913</f>
        <v>2630</v>
      </c>
      <c r="F4" s="1">
        <f>'[2]FY 26-27'!H913</f>
        <v>2455.75</v>
      </c>
      <c r="G4" s="1">
        <f>'[2]FY 26-27'!J913</f>
        <v>2415</v>
      </c>
      <c r="H4" s="1">
        <f>'[2]FY 26-27'!K913</f>
        <v>2415</v>
      </c>
      <c r="I4" s="1">
        <f>'[2]FY 26-27'!L913</f>
        <v>2375</v>
      </c>
      <c r="J4" s="1">
        <f>'[2]FY 26-27'!M913</f>
        <v>2375</v>
      </c>
      <c r="K4" s="1">
        <f>'[2]FY 26-27'!N913</f>
        <v>2375</v>
      </c>
      <c r="L4" s="1">
        <f>'[2]FY 26-27'!O913</f>
        <v>2230</v>
      </c>
      <c r="M4" s="1">
        <f>'[2]FY 26-27'!P913</f>
        <v>2230</v>
      </c>
      <c r="N4" s="1">
        <f>'[2]FY 26-27'!Q913</f>
        <v>2230</v>
      </c>
      <c r="O4" s="1">
        <f>'[2]FY 26-27'!R913</f>
        <v>2688</v>
      </c>
      <c r="P4" s="1">
        <f>'[2]FY 26-27'!S913</f>
        <v>2375</v>
      </c>
      <c r="Q4" s="1">
        <f>'[2]FY 26-27'!T913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'[2]FY 26-27'!E914</f>
        <v>3398.5089281889309</v>
      </c>
      <c r="D5" s="8">
        <f>'[2]FY 26-27'!F914</f>
        <v>3322.8950446879021</v>
      </c>
      <c r="E5" s="8">
        <f>'[2]FY 26-27'!G914</f>
        <v>3322.8950446879021</v>
      </c>
      <c r="F5" s="8">
        <f>'[2]FY 26-27'!H914</f>
        <v>3393.4128622510025</v>
      </c>
      <c r="G5" s="8">
        <f>'[2]FY 26-27'!J914</f>
        <v>3337.7776913961402</v>
      </c>
      <c r="H5" s="8">
        <f>'[2]FY 26-27'!K914</f>
        <v>3202.9549429182939</v>
      </c>
      <c r="I5" s="8">
        <f>'[2]FY 26-27'!L914</f>
        <v>3378.4704119313706</v>
      </c>
      <c r="J5" s="8">
        <f>'[2]FY 26-27'!M914</f>
        <v>3363.6282951524145</v>
      </c>
      <c r="K5" s="8">
        <f>'[2]FY 26-27'!N914</f>
        <v>3363.6282951524145</v>
      </c>
      <c r="L5" s="8">
        <f>'[2]FY 26-27'!O914</f>
        <v>3599.4861766645586</v>
      </c>
      <c r="M5" s="8">
        <f>'[2]FY 26-27'!P914</f>
        <v>3599.4861766645586</v>
      </c>
      <c r="N5" s="8">
        <f>'[2]FY 26-27'!Q914</f>
        <v>3599.4861766645586</v>
      </c>
      <c r="O5" s="8">
        <f>'[2]FY 26-27'!R914</f>
        <v>3398.5089281889309</v>
      </c>
      <c r="P5" s="8">
        <f>'[2]FY 26-27'!S914</f>
        <v>3436.2896961167407</v>
      </c>
      <c r="Q5" s="8">
        <f>'[2]FY 26-27'!T914</f>
        <v>3208.1179839098054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'[2]FY 26-27'!E915</f>
        <v>3313.5089281889309</v>
      </c>
      <c r="D6" s="8">
        <f>'[2]FY 26-27'!F915</f>
        <v>3237.8950446879021</v>
      </c>
      <c r="E6" s="8">
        <f>'[2]FY 26-27'!G915</f>
        <v>3237.8950446879021</v>
      </c>
      <c r="F6" s="8">
        <f>'[2]FY 26-27'!H915</f>
        <v>3308.4128622510025</v>
      </c>
      <c r="G6" s="8">
        <f>'[2]FY 26-27'!J915</f>
        <v>3252.7776913961402</v>
      </c>
      <c r="H6" s="8">
        <f>'[2]FY 26-27'!K915</f>
        <v>3117.9549429182939</v>
      </c>
      <c r="I6" s="8">
        <f>'[2]FY 26-27'!L915</f>
        <v>3293.4704119313706</v>
      </c>
      <c r="J6" s="8">
        <f>'[2]FY 26-27'!M915</f>
        <v>3278.6282951524145</v>
      </c>
      <c r="K6" s="8">
        <f>'[2]FY 26-27'!N915</f>
        <v>3278.6282951524145</v>
      </c>
      <c r="L6" s="8">
        <f>'[2]FY 26-27'!O915</f>
        <v>3514.4861766645586</v>
      </c>
      <c r="M6" s="8">
        <f>'[2]FY 26-27'!P915</f>
        <v>3514.4861766645586</v>
      </c>
      <c r="N6" s="8">
        <f>'[2]FY 26-27'!Q915</f>
        <v>3514.4861766645586</v>
      </c>
      <c r="O6" s="8">
        <f>'[2]FY 26-27'!R915</f>
        <v>3313.5089281889309</v>
      </c>
      <c r="P6" s="8">
        <f>'[2]FY 26-27'!S915</f>
        <v>3351.2896961167407</v>
      </c>
      <c r="Q6" s="8">
        <f>'[2]FY 26-27'!T915</f>
        <v>3123.1179839098054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'[2]FY 26-27'!E916</f>
        <v>7.4999999999999997E-3</v>
      </c>
      <c r="D7" s="4">
        <f>'[2]FY 26-27'!F916</f>
        <v>7.4999999999999997E-3</v>
      </c>
      <c r="E7" s="4">
        <f>'[2]FY 26-27'!G916</f>
        <v>7.4999999999999997E-3</v>
      </c>
      <c r="F7" s="4">
        <f>'[2]FY 26-27'!H916</f>
        <v>7.4999999999999997E-3</v>
      </c>
      <c r="G7" s="4">
        <f>'[2]FY 26-27'!J916</f>
        <v>1.1299999999999999E-2</v>
      </c>
      <c r="H7" s="4">
        <f>'[2]FY 26-27'!K916</f>
        <v>7.4999999999999997E-3</v>
      </c>
      <c r="I7" s="4">
        <f>'[2]FY 26-27'!L916</f>
        <v>7.4999999999999997E-3</v>
      </c>
      <c r="J7" s="4">
        <f>'[2]FY 26-27'!M916</f>
        <v>7.4999999999999997E-3</v>
      </c>
      <c r="K7" s="4">
        <f>'[2]FY 26-27'!N916</f>
        <v>7.4999999999999997E-3</v>
      </c>
      <c r="L7" s="4">
        <f>'[2]FY 26-27'!O916</f>
        <v>7.4999999999999997E-3</v>
      </c>
      <c r="M7" s="4">
        <f>'[2]FY 26-27'!P916</f>
        <v>7.4999999999999997E-3</v>
      </c>
      <c r="N7" s="4">
        <f>'[2]FY 26-27'!Q916</f>
        <v>7.4999999999999997E-3</v>
      </c>
      <c r="O7" s="4">
        <f>'[2]FY 26-27'!R916</f>
        <v>7.4999999999999997E-3</v>
      </c>
      <c r="P7" s="4">
        <f>'[2]FY 26-27'!S916</f>
        <v>5.0000000000000001E-3</v>
      </c>
      <c r="Q7" s="4">
        <f>'[2]FY 26-27'!T916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'[2]FY 26-27'!E917</f>
        <v>0.85</v>
      </c>
      <c r="D8" s="4">
        <f>'[2]FY 26-27'!F917</f>
        <v>0.85</v>
      </c>
      <c r="E8" s="4">
        <f>'[2]FY 26-27'!G917</f>
        <v>0.85</v>
      </c>
      <c r="F8" s="4">
        <f>'[2]FY 26-27'!H917</f>
        <v>0.85</v>
      </c>
      <c r="G8" s="4">
        <f>'[2]FY 26-27'!J917</f>
        <v>0.89</v>
      </c>
      <c r="H8" s="4">
        <f>'[2]FY 26-27'!K917</f>
        <v>0.85</v>
      </c>
      <c r="I8" s="4">
        <f>'[2]FY 26-27'!L917</f>
        <v>0.89</v>
      </c>
      <c r="J8" s="4">
        <f>'[2]FY 26-27'!M917</f>
        <v>0.89</v>
      </c>
      <c r="K8" s="4">
        <f>'[2]FY 26-27'!N917</f>
        <v>0.89</v>
      </c>
      <c r="L8" s="4">
        <f>'[2]FY 26-27'!O917</f>
        <v>0.89</v>
      </c>
      <c r="M8" s="4">
        <f>'[2]FY 26-27'!P917</f>
        <v>0.89</v>
      </c>
      <c r="N8" s="4">
        <f>'[2]FY 26-27'!Q917</f>
        <v>0.89</v>
      </c>
      <c r="O8" s="4">
        <f>'[2]FY 26-27'!R917</f>
        <v>0.89</v>
      </c>
      <c r="P8" s="4">
        <f>'[2]FY 26-27'!S917</f>
        <v>0.89</v>
      </c>
      <c r="Q8" s="4">
        <f>'[2]FY 26-27'!T917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'[2]FY 26-27'!E918</f>
        <v>600</v>
      </c>
      <c r="D9" s="8">
        <f>'[2]FY 26-27'!F918</f>
        <v>600</v>
      </c>
      <c r="E9" s="8">
        <f>'[2]FY 26-27'!G918</f>
        <v>600</v>
      </c>
      <c r="F9" s="8">
        <f>'[2]FY 26-27'!H918</f>
        <v>600</v>
      </c>
      <c r="G9" s="8">
        <f>'[2]FY 26-27'!J918</f>
        <v>600</v>
      </c>
      <c r="H9" s="8">
        <f>'[2]FY 26-27'!K918</f>
        <v>600</v>
      </c>
      <c r="I9" s="8">
        <f>'[2]FY 26-27'!L918</f>
        <v>200</v>
      </c>
      <c r="J9" s="8">
        <f>'[2]FY 26-27'!M918</f>
        <v>200</v>
      </c>
      <c r="K9" s="8">
        <f>'[2]FY 26-27'!N918</f>
        <v>200</v>
      </c>
      <c r="L9" s="8">
        <f>'[2]FY 26-27'!O918</f>
        <v>200</v>
      </c>
      <c r="M9" s="8">
        <f>'[2]FY 26-27'!P918</f>
        <v>200</v>
      </c>
      <c r="N9" s="8">
        <f>'[2]FY 26-27'!Q918</f>
        <v>200</v>
      </c>
      <c r="O9" s="8">
        <f>'[2]FY 26-27'!R918</f>
        <v>200</v>
      </c>
      <c r="P9" s="8">
        <f>'[2]FY 26-27'!S918</f>
        <v>200</v>
      </c>
      <c r="Q9" s="8">
        <f>'[2]FY 26-27'!T918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'[2]FY 26-27'!E919</f>
        <v>0.73</v>
      </c>
      <c r="D10" s="4">
        <f>'[2]FY 26-27'!F919</f>
        <v>0.73</v>
      </c>
      <c r="E10" s="4">
        <f>'[2]FY 26-27'!G919</f>
        <v>0.73</v>
      </c>
      <c r="F10" s="4">
        <f>'[2]FY 26-27'!H919</f>
        <v>0.73</v>
      </c>
      <c r="G10" s="4">
        <f>'[2]FY 26-27'!J919</f>
        <v>0.73</v>
      </c>
      <c r="H10" s="4">
        <f>'[2]FY 26-27'!K919</f>
        <v>0.73</v>
      </c>
      <c r="I10" s="4">
        <f>'[2]FY 26-27'!L919</f>
        <v>0.95</v>
      </c>
      <c r="J10" s="4">
        <f>'[2]FY 26-27'!M919</f>
        <v>0.95</v>
      </c>
      <c r="K10" s="4">
        <f>'[2]FY 26-27'!N919</f>
        <v>0.95</v>
      </c>
      <c r="L10" s="4">
        <f>'[2]FY 26-27'!O919</f>
        <v>0.95</v>
      </c>
      <c r="M10" s="4">
        <f>'[2]FY 26-27'!P919</f>
        <v>0.95</v>
      </c>
      <c r="N10" s="4">
        <f>'[2]FY 26-27'!Q919</f>
        <v>0.95</v>
      </c>
      <c r="O10" s="4">
        <f>'[2]FY 26-27'!R919</f>
        <v>0.95</v>
      </c>
      <c r="P10" s="4">
        <f>'[2]FY 26-27'!S919</f>
        <v>0.95</v>
      </c>
      <c r="Q10" s="4">
        <f>'[2]FY 26-27'!T919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'[2]FY 26-27'!E921</f>
        <v>0.67</v>
      </c>
      <c r="D12" s="18">
        <f>'[2]FY 26-27'!F921</f>
        <v>0.67</v>
      </c>
      <c r="E12" s="18">
        <f>'[2]FY 26-27'!G921</f>
        <v>0.67</v>
      </c>
      <c r="F12" s="18">
        <f>'[2]FY 26-27'!H921</f>
        <v>0.67</v>
      </c>
      <c r="G12" s="18">
        <f>'[2]FY 26-27'!J921</f>
        <v>0.75</v>
      </c>
      <c r="H12" s="18">
        <f>'[2]FY 26-27'!K921</f>
        <v>0.67</v>
      </c>
      <c r="I12" s="18">
        <f>'[2]FY 26-27'!L921</f>
        <v>0.95</v>
      </c>
      <c r="J12" s="18">
        <f>'[2]FY 26-27'!M921</f>
        <v>0.95</v>
      </c>
      <c r="K12" s="18">
        <f>'[2]FY 26-27'!N921</f>
        <v>0.95</v>
      </c>
      <c r="L12" s="18">
        <f>'[2]FY 26-27'!O921</f>
        <v>0.95</v>
      </c>
      <c r="M12" s="18">
        <f>'[2]FY 26-27'!P921</f>
        <v>0.95</v>
      </c>
      <c r="N12" s="18">
        <f>'[2]FY 26-27'!Q921</f>
        <v>0.95</v>
      </c>
      <c r="O12" s="18">
        <f>'[2]FY 26-27'!R921</f>
        <v>0.95</v>
      </c>
      <c r="P12" s="18">
        <f>'[2]FY 26-27'!S921</f>
        <v>0.95</v>
      </c>
      <c r="Q12" s="18">
        <f>'[2]FY 26-27'!T921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14.965427221417569</v>
      </c>
      <c r="D14" s="13">
        <f t="shared" ref="D14:Q14" si="3">(D13*D4*D7/D6)*(85/D8)</f>
        <v>14.984456018736578</v>
      </c>
      <c r="E14" s="13">
        <f t="shared" si="3"/>
        <v>14.984456018736578</v>
      </c>
      <c r="F14" s="13">
        <f t="shared" si="3"/>
        <v>13.693436497986594</v>
      </c>
      <c r="G14" s="13">
        <f t="shared" si="3"/>
        <v>22.0619203420543</v>
      </c>
      <c r="H14" s="13">
        <f t="shared" si="3"/>
        <v>14.288784952592682</v>
      </c>
      <c r="I14" s="13">
        <f t="shared" si="3"/>
        <v>18.182043553503139</v>
      </c>
      <c r="J14" s="13">
        <f t="shared" si="3"/>
        <v>18.264352369693174</v>
      </c>
      <c r="K14" s="13">
        <f t="shared" si="3"/>
        <v>18.264352369693174</v>
      </c>
      <c r="L14" s="13">
        <f t="shared" si="3"/>
        <v>15.998374894475177</v>
      </c>
      <c r="M14" s="13">
        <f t="shared" si="3"/>
        <v>15.998374894475177</v>
      </c>
      <c r="N14" s="13">
        <f t="shared" si="3"/>
        <v>15.998374894475177</v>
      </c>
      <c r="O14" s="13">
        <f t="shared" si="3"/>
        <v>20.453798123209662</v>
      </c>
      <c r="P14" s="13">
        <f t="shared" si="3"/>
        <v>11.912234373789001</v>
      </c>
      <c r="Q14" s="13">
        <f t="shared" si="3"/>
        <v>14.265163180117479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'[2]FY 26-27'!E927</f>
        <v>2943.4287806518996</v>
      </c>
      <c r="D18" s="16">
        <f>'[2]FY 26-27'!F927</f>
        <v>2760.8702066023257</v>
      </c>
      <c r="E18" s="16">
        <f>'[2]FY 26-27'!G927</f>
        <v>2760.8702066023257</v>
      </c>
      <c r="F18" s="16">
        <f>'[2]FY 26-27'!H927</f>
        <v>1379.6066295807666</v>
      </c>
      <c r="G18" s="16">
        <f>'[2]FY 26-27'!J927</f>
        <v>3723.1663703131871</v>
      </c>
      <c r="H18" s="16">
        <f>'[2]FY 26-27'!K927</f>
        <v>3723.0369943063938</v>
      </c>
      <c r="I18" s="16">
        <f>'[2]FY 26-27'!L927</f>
        <v>0</v>
      </c>
      <c r="J18" s="16">
        <f>'[2]FY 26-27'!M927</f>
        <v>0</v>
      </c>
      <c r="K18" s="16">
        <f>'[2]FY 26-27'!N927</f>
        <v>0</v>
      </c>
      <c r="L18" s="16">
        <f>'[2]FY 26-27'!O927</f>
        <v>1211.7398974242869</v>
      </c>
      <c r="M18" s="16">
        <f>'[2]FY 26-27'!P927</f>
        <v>0</v>
      </c>
      <c r="N18" s="16">
        <f>'[2]FY 26-27'!Q927</f>
        <v>0</v>
      </c>
      <c r="O18" s="16">
        <f>'[2]FY 26-27'!R927</f>
        <v>0</v>
      </c>
      <c r="P18" s="16">
        <f>'[2]FY 26-27'!S927</f>
        <v>0</v>
      </c>
      <c r="Q18" s="16">
        <f>'[2]FY 26-27'!T927</f>
        <v>1861.41458341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'[2]FY 26-27'!E928</f>
        <v>SBC</v>
      </c>
      <c r="D19" s="15" t="str">
        <f>'[2]FY 26-27'!F928</f>
        <v>SBC</v>
      </c>
      <c r="E19" s="15" t="str">
        <f>'[2]FY 26-27'!G928</f>
        <v>SBC</v>
      </c>
      <c r="F19" s="15" t="str">
        <f>'[2]FY 26-27'!H928</f>
        <v>SBC</v>
      </c>
      <c r="G19" s="15" t="str">
        <f>'[2]FY 26-27'!J928</f>
        <v>Limestone</v>
      </c>
      <c r="H19" s="15" t="str">
        <f>'[2]FY 26-27'!K928</f>
        <v>SBC</v>
      </c>
      <c r="I19" s="15" t="str">
        <f>'[2]FY 26-27'!L928</f>
        <v>Limestone</v>
      </c>
      <c r="J19" s="15" t="str">
        <f>'[2]FY 26-27'!M928</f>
        <v>Limestone</v>
      </c>
      <c r="K19" s="15" t="str">
        <f>'[2]FY 26-27'!N928</f>
        <v>Limestone</v>
      </c>
      <c r="L19" s="15" t="str">
        <f>'[2]FY 26-27'!O928</f>
        <v>Limestone</v>
      </c>
      <c r="M19" s="15" t="str">
        <f>'[2]FY 26-27'!P928</f>
        <v>Limestone</v>
      </c>
      <c r="N19" s="15" t="str">
        <f>'[2]FY 26-27'!Q928</f>
        <v>Limestone</v>
      </c>
      <c r="O19" s="15" t="str">
        <f>'[2]FY 26-27'!R928</f>
        <v>Limestone</v>
      </c>
      <c r="P19" s="15" t="str">
        <f>'[2]FY 26-27'!S928</f>
        <v>Limestone</v>
      </c>
      <c r="Q19" s="15" t="str">
        <f>'[2]FY 26-27'!T928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22.0619203420543</v>
      </c>
      <c r="H20" s="12">
        <f t="shared" si="5"/>
        <v>14.117647058823529</v>
      </c>
      <c r="I20" s="12">
        <f t="shared" si="5"/>
        <v>18.182043553503139</v>
      </c>
      <c r="J20" s="12">
        <f t="shared" si="5"/>
        <v>18.264352369693174</v>
      </c>
      <c r="K20" s="12">
        <f t="shared" si="5"/>
        <v>18.264352369693174</v>
      </c>
      <c r="L20" s="12">
        <f t="shared" si="5"/>
        <v>15.998374894475177</v>
      </c>
      <c r="M20" s="12">
        <f t="shared" si="5"/>
        <v>15.998374894475177</v>
      </c>
      <c r="N20" s="12">
        <f t="shared" si="5"/>
        <v>15.998374894475177</v>
      </c>
      <c r="O20" s="12">
        <f t="shared" si="5"/>
        <v>20.453798123209662</v>
      </c>
      <c r="P20" s="12">
        <f t="shared" si="5"/>
        <v>11.912234373789001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41554.28866802682</v>
      </c>
      <c r="D21" s="16">
        <f t="shared" si="6"/>
        <v>38976.991152032831</v>
      </c>
      <c r="E21" s="16">
        <f t="shared" si="6"/>
        <v>38976.991152032831</v>
      </c>
      <c r="F21" s="16">
        <f t="shared" si="6"/>
        <v>19476.799476434353</v>
      </c>
      <c r="G21" s="16">
        <f t="shared" si="6"/>
        <v>82140.199882064975</v>
      </c>
      <c r="H21" s="16">
        <f t="shared" si="6"/>
        <v>52560.522272560855</v>
      </c>
      <c r="I21" s="16">
        <f t="shared" si="6"/>
        <v>0</v>
      </c>
      <c r="J21" s="16">
        <f t="shared" si="6"/>
        <v>0</v>
      </c>
      <c r="K21" s="16">
        <f t="shared" si="6"/>
        <v>0</v>
      </c>
      <c r="L21" s="16">
        <f t="shared" si="6"/>
        <v>19385.869153586638</v>
      </c>
      <c r="M21" s="16">
        <f t="shared" si="6"/>
        <v>0</v>
      </c>
      <c r="N21" s="16">
        <f t="shared" si="6"/>
        <v>0</v>
      </c>
      <c r="O21" s="16">
        <f t="shared" si="6"/>
        <v>0</v>
      </c>
      <c r="P21" s="16">
        <f t="shared" si="6"/>
        <v>0</v>
      </c>
      <c r="Q21" s="16">
        <f t="shared" si="6"/>
        <v>26278.794118729409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ht="29" x14ac:dyDescent="0.35">
      <c r="A23" s="10">
        <f t="shared" si="4"/>
        <v>6</v>
      </c>
      <c r="B23" s="11" t="s">
        <v>33</v>
      </c>
      <c r="C23" s="16">
        <f>C22*C21/10^7</f>
        <v>186.55989047238515</v>
      </c>
      <c r="D23" s="16">
        <f t="shared" ref="D23:Q23" si="8">D22*D21/10^7</f>
        <v>174.98899471864439</v>
      </c>
      <c r="E23" s="16">
        <f t="shared" si="8"/>
        <v>174.98899471864439</v>
      </c>
      <c r="F23" s="16">
        <f t="shared" si="8"/>
        <v>87.441987182227948</v>
      </c>
      <c r="G23" s="16">
        <f t="shared" si="8"/>
        <v>26.521017036921727</v>
      </c>
      <c r="H23" s="16">
        <f t="shared" si="8"/>
        <v>235.97288252668648</v>
      </c>
      <c r="I23" s="16">
        <f t="shared" si="8"/>
        <v>0</v>
      </c>
      <c r="J23" s="16">
        <f t="shared" si="8"/>
        <v>0</v>
      </c>
      <c r="K23" s="16">
        <f t="shared" si="8"/>
        <v>0</v>
      </c>
      <c r="L23" s="16">
        <f t="shared" si="8"/>
        <v>6.259212502964286</v>
      </c>
      <c r="M23" s="16">
        <f t="shared" si="8"/>
        <v>0</v>
      </c>
      <c r="N23" s="16">
        <f t="shared" si="8"/>
        <v>0</v>
      </c>
      <c r="O23" s="16">
        <f t="shared" si="8"/>
        <v>0</v>
      </c>
      <c r="P23" s="16">
        <f t="shared" si="8"/>
        <v>0</v>
      </c>
      <c r="Q23" s="16">
        <f t="shared" si="8"/>
        <v>117.97985502056515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2943.4287806518996</v>
      </c>
      <c r="D27" s="17">
        <f t="shared" ref="D27:Q27" si="9">D18</f>
        <v>2760.8702066023257</v>
      </c>
      <c r="E27" s="17">
        <f t="shared" si="9"/>
        <v>2760.8702066023257</v>
      </c>
      <c r="F27" s="17">
        <f t="shared" si="9"/>
        <v>1379.6066295807666</v>
      </c>
      <c r="G27" s="17">
        <f t="shared" si="9"/>
        <v>3723.1663703131871</v>
      </c>
      <c r="H27" s="17">
        <f t="shared" si="9"/>
        <v>3723.0369943063938</v>
      </c>
      <c r="I27" s="17">
        <f t="shared" si="9"/>
        <v>0</v>
      </c>
      <c r="J27" s="17">
        <f t="shared" si="9"/>
        <v>0</v>
      </c>
      <c r="K27" s="17">
        <f t="shared" si="9"/>
        <v>0</v>
      </c>
      <c r="L27" s="17">
        <f t="shared" si="9"/>
        <v>1211.7398974242869</v>
      </c>
      <c r="M27" s="17">
        <f t="shared" si="9"/>
        <v>0</v>
      </c>
      <c r="N27" s="17">
        <f t="shared" si="9"/>
        <v>0</v>
      </c>
      <c r="O27" s="17">
        <f t="shared" si="9"/>
        <v>0</v>
      </c>
      <c r="P27" s="17">
        <f t="shared" si="9"/>
        <v>0</v>
      </c>
      <c r="Q27" s="17">
        <f t="shared" si="9"/>
        <v>1861.41458341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'[2]FY 26-27'!E937</f>
        <v>Ammonia</v>
      </c>
      <c r="D28" s="7" t="str">
        <f>'[2]FY 26-27'!F937</f>
        <v>Ammonia</v>
      </c>
      <c r="E28" s="7" t="str">
        <f>'[2]FY 26-27'!G937</f>
        <v>Ammonia</v>
      </c>
      <c r="F28" s="7" t="str">
        <f>'[2]FY 26-27'!H937</f>
        <v>Ammonia</v>
      </c>
      <c r="G28" s="7" t="str">
        <f>'[2]FY 26-27'!J937</f>
        <v>Ammonia</v>
      </c>
      <c r="H28" s="7" t="str">
        <f>'[2]FY 26-27'!K937</f>
        <v>Ammonia</v>
      </c>
      <c r="I28" s="7" t="str">
        <f>'[2]FY 26-27'!L937</f>
        <v>Ammonia</v>
      </c>
      <c r="J28" s="7" t="str">
        <f>'[2]FY 26-27'!M937</f>
        <v>Ammonia</v>
      </c>
      <c r="K28" s="7" t="str">
        <f>'[2]FY 26-27'!N937</f>
        <v>Ammonia</v>
      </c>
      <c r="L28" s="7" t="str">
        <f>'[2]FY 26-27'!O937</f>
        <v>Ammonia</v>
      </c>
      <c r="M28" s="7" t="str">
        <f>'[2]FY 26-27'!P937</f>
        <v>Ammonia</v>
      </c>
      <c r="N28" s="7" t="str">
        <f>'[2]FY 26-27'!Q937</f>
        <v>Ammonia</v>
      </c>
      <c r="O28" s="7" t="str">
        <f>'[2]FY 26-27'!R937</f>
        <v>Ammonia</v>
      </c>
      <c r="P28" s="7" t="str">
        <f>'[2]FY 26-27'!S937</f>
        <v>Ammonia</v>
      </c>
      <c r="Q28" s="7" t="str">
        <f>'[2]FY 26-27'!T937</f>
        <v>Ammonia</v>
      </c>
      <c r="R28" s="7"/>
    </row>
    <row r="29" spans="1:18" ht="29" x14ac:dyDescent="0.35">
      <c r="A29" s="10">
        <f t="shared" ref="A29:A32" si="10">A28+1</f>
        <v>3</v>
      </c>
      <c r="B29" s="11" t="s">
        <v>35</v>
      </c>
      <c r="C29" s="7">
        <f>'[2]FY 26-27'!E938</f>
        <v>0.6</v>
      </c>
      <c r="D29" s="7">
        <f>'[2]FY 26-27'!F938</f>
        <v>0.6</v>
      </c>
      <c r="E29" s="7">
        <f>'[2]FY 26-27'!G938</f>
        <v>0.6</v>
      </c>
      <c r="F29" s="7">
        <f>'[2]FY 26-27'!H938</f>
        <v>0.6</v>
      </c>
      <c r="G29" s="7">
        <f>'[2]FY 26-27'!J938</f>
        <v>0.6</v>
      </c>
      <c r="H29" s="7">
        <f>'[2]FY 26-27'!K938</f>
        <v>0.6</v>
      </c>
      <c r="I29" s="7">
        <f>'[2]FY 26-27'!L938</f>
        <v>0.6</v>
      </c>
      <c r="J29" s="7">
        <f>'[2]FY 26-27'!M938</f>
        <v>0.6</v>
      </c>
      <c r="K29" s="7">
        <f>'[2]FY 26-27'!N938</f>
        <v>0.6</v>
      </c>
      <c r="L29" s="7">
        <f>'[2]FY 26-27'!O938</f>
        <v>0.6</v>
      </c>
      <c r="M29" s="7">
        <f>'[2]FY 26-27'!P938</f>
        <v>0.6</v>
      </c>
      <c r="N29" s="7">
        <f>'[2]FY 26-27'!Q938</f>
        <v>0.6</v>
      </c>
      <c r="O29" s="7">
        <f>'[2]FY 26-27'!R938</f>
        <v>0.6</v>
      </c>
      <c r="P29" s="7">
        <f>'[2]FY 26-27'!S938</f>
        <v>0.6</v>
      </c>
      <c r="Q29" s="7">
        <f>'[2]FY 26-27'!T938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1766.0572683911398</v>
      </c>
      <c r="D30" s="16">
        <f t="shared" si="11"/>
        <v>1656.5221239613954</v>
      </c>
      <c r="E30" s="16">
        <f t="shared" si="11"/>
        <v>1656.5221239613954</v>
      </c>
      <c r="F30" s="16">
        <f t="shared" si="11"/>
        <v>827.76397774845998</v>
      </c>
      <c r="G30" s="16">
        <f t="shared" si="11"/>
        <v>2233.8998221879124</v>
      </c>
      <c r="H30" s="16">
        <f t="shared" si="11"/>
        <v>2233.8221965838361</v>
      </c>
      <c r="I30" s="16">
        <f t="shared" si="11"/>
        <v>0</v>
      </c>
      <c r="J30" s="16">
        <f t="shared" si="11"/>
        <v>0</v>
      </c>
      <c r="K30" s="16">
        <f t="shared" si="11"/>
        <v>0</v>
      </c>
      <c r="L30" s="16">
        <f t="shared" si="11"/>
        <v>727.04393845457219</v>
      </c>
      <c r="M30" s="16">
        <f t="shared" si="11"/>
        <v>0</v>
      </c>
      <c r="N30" s="16">
        <f t="shared" si="11"/>
        <v>0</v>
      </c>
      <c r="O30" s="16">
        <f t="shared" si="11"/>
        <v>0</v>
      </c>
      <c r="P30" s="16">
        <f t="shared" si="11"/>
        <v>0</v>
      </c>
      <c r="Q30" s="16">
        <f t="shared" si="11"/>
        <v>1116.8487500459999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'[2]FY 26-27'!E940</f>
        <v>116.82</v>
      </c>
      <c r="D31" s="7">
        <f>'[2]FY 26-27'!F940</f>
        <v>116.82</v>
      </c>
      <c r="E31" s="7">
        <f>'[2]FY 26-27'!G940</f>
        <v>116.82</v>
      </c>
      <c r="F31" s="7">
        <f>'[2]FY 26-27'!H940</f>
        <v>116.82</v>
      </c>
      <c r="G31" s="7">
        <f>'[2]FY 26-27'!J940</f>
        <v>116.82</v>
      </c>
      <c r="H31" s="7">
        <f>'[2]FY 26-27'!K940</f>
        <v>116.82</v>
      </c>
      <c r="I31" s="7">
        <f>'[2]FY 26-27'!L940</f>
        <v>116.82</v>
      </c>
      <c r="J31" s="7">
        <f>'[2]FY 26-27'!M940</f>
        <v>116.82</v>
      </c>
      <c r="K31" s="7">
        <f>'[2]FY 26-27'!N940</f>
        <v>116.82</v>
      </c>
      <c r="L31" s="7">
        <f>'[2]FY 26-27'!O940</f>
        <v>116.82</v>
      </c>
      <c r="M31" s="7">
        <f>'[2]FY 26-27'!P940</f>
        <v>116.82</v>
      </c>
      <c r="N31" s="7">
        <f>'[2]FY 26-27'!Q940</f>
        <v>116.82</v>
      </c>
      <c r="O31" s="7">
        <f>'[2]FY 26-27'!R940</f>
        <v>116.82</v>
      </c>
      <c r="P31" s="7">
        <f>'[2]FY 26-27'!S940</f>
        <v>116.82</v>
      </c>
      <c r="Q31" s="7">
        <f>'[2]FY 26-27'!T940</f>
        <v>116.82</v>
      </c>
      <c r="R31" s="7"/>
    </row>
    <row r="32" spans="1:18" ht="29" x14ac:dyDescent="0.35">
      <c r="A32" s="10">
        <f t="shared" si="10"/>
        <v>6</v>
      </c>
      <c r="B32" s="11" t="s">
        <v>38</v>
      </c>
      <c r="C32" s="16">
        <f>C31*C30/10^7</f>
        <v>2.0631081009345294E-2</v>
      </c>
      <c r="D32" s="16">
        <f t="shared" ref="D32:Q32" si="12">D31*D30/10^7</f>
        <v>1.9351491452117019E-2</v>
      </c>
      <c r="E32" s="16">
        <f t="shared" si="12"/>
        <v>1.9351491452117019E-2</v>
      </c>
      <c r="F32" s="16">
        <f t="shared" si="12"/>
        <v>9.6699387880575093E-3</v>
      </c>
      <c r="G32" s="16">
        <f t="shared" si="12"/>
        <v>2.6096417722799189E-2</v>
      </c>
      <c r="H32" s="16">
        <f t="shared" si="12"/>
        <v>2.6095510900492374E-2</v>
      </c>
      <c r="I32" s="16">
        <f t="shared" si="12"/>
        <v>0</v>
      </c>
      <c r="J32" s="16">
        <f t="shared" si="12"/>
        <v>0</v>
      </c>
      <c r="K32" s="16">
        <f t="shared" si="12"/>
        <v>0</v>
      </c>
      <c r="L32" s="16">
        <f t="shared" si="12"/>
        <v>8.4933272890263117E-3</v>
      </c>
      <c r="M32" s="16">
        <f t="shared" si="12"/>
        <v>0</v>
      </c>
      <c r="N32" s="16">
        <f t="shared" si="12"/>
        <v>0</v>
      </c>
      <c r="O32" s="16">
        <f t="shared" si="12"/>
        <v>0</v>
      </c>
      <c r="P32" s="16">
        <f t="shared" si="12"/>
        <v>0</v>
      </c>
      <c r="Q32" s="16">
        <f t="shared" si="12"/>
        <v>1.3047027098037369E-2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186.5805215533945</v>
      </c>
      <c r="D34" s="21">
        <f t="shared" ref="D34:Q34" si="13">D23+D32</f>
        <v>175.00834621009651</v>
      </c>
      <c r="E34" s="21">
        <f t="shared" si="13"/>
        <v>175.00834621009651</v>
      </c>
      <c r="F34" s="21">
        <f t="shared" si="13"/>
        <v>87.451657121015998</v>
      </c>
      <c r="G34" s="21">
        <f t="shared" si="13"/>
        <v>26.547113454644524</v>
      </c>
      <c r="H34" s="21">
        <f t="shared" si="13"/>
        <v>235.99897803758697</v>
      </c>
      <c r="I34" s="21">
        <f t="shared" si="13"/>
        <v>0</v>
      </c>
      <c r="J34" s="21">
        <f t="shared" si="13"/>
        <v>0</v>
      </c>
      <c r="K34" s="21">
        <f t="shared" si="13"/>
        <v>0</v>
      </c>
      <c r="L34" s="21">
        <f t="shared" si="13"/>
        <v>6.2677058302533126</v>
      </c>
      <c r="M34" s="21">
        <f t="shared" si="13"/>
        <v>0</v>
      </c>
      <c r="N34" s="21">
        <f t="shared" si="13"/>
        <v>0</v>
      </c>
      <c r="O34" s="21">
        <f t="shared" si="13"/>
        <v>0</v>
      </c>
      <c r="P34" s="21">
        <f t="shared" si="13"/>
        <v>0</v>
      </c>
      <c r="Q34" s="21">
        <f t="shared" si="13"/>
        <v>117.99290204766319</v>
      </c>
      <c r="R34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1FDF-19D1-4D94-84A3-E536CEF8B3CE}">
  <dimension ref="A1:R34"/>
  <sheetViews>
    <sheetView showGridLines="0" workbookViewId="0">
      <pane xSplit="2" ySplit="3" topLeftCell="G4" activePane="bottomRight" state="frozen"/>
      <selection activeCell="Q2" sqref="Q2"/>
      <selection pane="topRight" activeCell="Q2" sqref="Q2"/>
      <selection pane="bottomLeft" activeCell="Q2" sqref="Q2"/>
      <selection pane="bottomRight" activeCell="R3" sqref="R3:R20"/>
    </sheetView>
  </sheetViews>
  <sheetFormatPr defaultRowHeight="14.5" x14ac:dyDescent="0.35"/>
  <cols>
    <col min="1" max="1" width="8.7265625" style="5"/>
    <col min="2" max="2" width="22.1796875" style="5" customWidth="1"/>
    <col min="3" max="17" width="10.08984375" style="5" bestFit="1" customWidth="1"/>
    <col min="18" max="18" width="24.81640625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C2" s="36">
        <f>'25-26'!C2</f>
        <v>45808</v>
      </c>
      <c r="D2" s="36">
        <f>'25-26'!D2</f>
        <v>45808</v>
      </c>
      <c r="E2" s="36">
        <f>'25-26'!E2</f>
        <v>45565</v>
      </c>
      <c r="F2" s="36">
        <f>'25-26'!F2</f>
        <v>45596</v>
      </c>
      <c r="G2" s="36">
        <f>'25-26'!G2</f>
        <v>45838</v>
      </c>
      <c r="H2" s="36">
        <f>'25-26'!H2</f>
        <v>45688</v>
      </c>
      <c r="I2" s="36">
        <f>'25-26'!I2</f>
        <v>46477</v>
      </c>
      <c r="J2" s="36">
        <f>'25-26'!J2</f>
        <v>46477</v>
      </c>
      <c r="K2" s="36">
        <f>'25-26'!K2</f>
        <v>46568</v>
      </c>
      <c r="L2" s="36">
        <f>'25-26'!L2</f>
        <v>46387</v>
      </c>
      <c r="M2" s="36">
        <f>'25-26'!M2</f>
        <v>46477</v>
      </c>
      <c r="N2" s="36">
        <f>'25-26'!N2</f>
        <v>46568</v>
      </c>
      <c r="O2" s="36">
        <f>'25-26'!O2</f>
        <v>46691</v>
      </c>
      <c r="P2" s="36">
        <f>'25-26'!P2</f>
        <v>46568</v>
      </c>
      <c r="Q2" s="36">
        <f>'25-26'!Q2</f>
        <v>45688</v>
      </c>
    </row>
    <row r="3" spans="1:18" s="6" customFormat="1" ht="29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'[2]FY 27-28'!E913</f>
        <v>2688</v>
      </c>
      <c r="D4" s="1">
        <f>'[2]FY 27-28'!F913</f>
        <v>2630</v>
      </c>
      <c r="E4" s="1">
        <f>'[2]FY 27-28'!G913</f>
        <v>2630</v>
      </c>
      <c r="F4" s="1">
        <f>'[2]FY 27-28'!H913</f>
        <v>2455.75</v>
      </c>
      <c r="G4" s="1">
        <f>'[2]FY 27-28'!J913</f>
        <v>2415</v>
      </c>
      <c r="H4" s="1">
        <f>'[2]FY 27-28'!K913</f>
        <v>2415</v>
      </c>
      <c r="I4" s="1">
        <f>'[2]FY 27-28'!L913</f>
        <v>2375</v>
      </c>
      <c r="J4" s="1">
        <f>'[2]FY 27-28'!M913</f>
        <v>2375</v>
      </c>
      <c r="K4" s="1">
        <f>'[2]FY 27-28'!N913</f>
        <v>2375</v>
      </c>
      <c r="L4" s="1">
        <f>'[2]FY 27-28'!O913</f>
        <v>2230</v>
      </c>
      <c r="M4" s="1">
        <f>'[2]FY 27-28'!P913</f>
        <v>2230</v>
      </c>
      <c r="N4" s="1">
        <f>'[2]FY 27-28'!Q913</f>
        <v>2230</v>
      </c>
      <c r="O4" s="1">
        <f>'[2]FY 27-28'!R913</f>
        <v>2688</v>
      </c>
      <c r="P4" s="1">
        <f>'[2]FY 27-28'!S913</f>
        <v>2375</v>
      </c>
      <c r="Q4" s="1">
        <f>'[2]FY 27-28'!T913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'[2]FY 27-28'!E914</f>
        <v>3398.5080262413176</v>
      </c>
      <c r="D5" s="8">
        <f>'[2]FY 27-28'!F914</f>
        <v>3322.8950446879021</v>
      </c>
      <c r="E5" s="8">
        <f>'[2]FY 27-28'!G914</f>
        <v>3322.8950446879021</v>
      </c>
      <c r="F5" s="8">
        <f>'[2]FY 27-28'!H914</f>
        <v>3393.4128622510025</v>
      </c>
      <c r="G5" s="8">
        <f>'[2]FY 27-28'!J914</f>
        <v>3337.7776913961407</v>
      </c>
      <c r="H5" s="8">
        <f>'[2]FY 27-28'!K914</f>
        <v>3202.9549429182939</v>
      </c>
      <c r="I5" s="8">
        <f>'[2]FY 27-28'!L914</f>
        <v>3378.4704119313706</v>
      </c>
      <c r="J5" s="8">
        <f>'[2]FY 27-28'!M914</f>
        <v>3363.6282951524145</v>
      </c>
      <c r="K5" s="8">
        <f>'[2]FY 27-28'!N914</f>
        <v>3363.6282951524145</v>
      </c>
      <c r="L5" s="8">
        <f>'[2]FY 27-28'!O914</f>
        <v>3587.7677600666402</v>
      </c>
      <c r="M5" s="8">
        <f>'[2]FY 27-28'!P914</f>
        <v>3587.7677600666402</v>
      </c>
      <c r="N5" s="8">
        <f>'[2]FY 27-28'!Q914</f>
        <v>3587.7677600666402</v>
      </c>
      <c r="O5" s="8">
        <f>'[2]FY 27-28'!R914</f>
        <v>3398.5080262413176</v>
      </c>
      <c r="P5" s="8">
        <f>'[2]FY 27-28'!S914</f>
        <v>3446.2481299323463</v>
      </c>
      <c r="Q5" s="8">
        <f>'[2]FY 27-28'!T914</f>
        <v>3218.0254270318615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'[2]FY 27-28'!E915</f>
        <v>3313.5080262413176</v>
      </c>
      <c r="D6" s="8">
        <f>'[2]FY 27-28'!F915</f>
        <v>3237.8950446879021</v>
      </c>
      <c r="E6" s="8">
        <f>'[2]FY 27-28'!G915</f>
        <v>3237.8950446879021</v>
      </c>
      <c r="F6" s="8">
        <f>'[2]FY 27-28'!H915</f>
        <v>3308.4128622510025</v>
      </c>
      <c r="G6" s="8">
        <f>'[2]FY 27-28'!J915</f>
        <v>3252.7776913961407</v>
      </c>
      <c r="H6" s="8">
        <f>'[2]FY 27-28'!K915</f>
        <v>3117.9549429182939</v>
      </c>
      <c r="I6" s="8">
        <f>'[2]FY 27-28'!L915</f>
        <v>3293.4704119313706</v>
      </c>
      <c r="J6" s="8">
        <f>'[2]FY 27-28'!M915</f>
        <v>3278.6282951524145</v>
      </c>
      <c r="K6" s="8">
        <f>'[2]FY 27-28'!N915</f>
        <v>3278.6282951524145</v>
      </c>
      <c r="L6" s="8">
        <f>'[2]FY 27-28'!O915</f>
        <v>3502.7677600666402</v>
      </c>
      <c r="M6" s="8">
        <f>'[2]FY 27-28'!P915</f>
        <v>3502.7677600666402</v>
      </c>
      <c r="N6" s="8">
        <f>'[2]FY 27-28'!Q915</f>
        <v>3502.7677600666402</v>
      </c>
      <c r="O6" s="8">
        <f>'[2]FY 27-28'!R915</f>
        <v>3313.5080262413176</v>
      </c>
      <c r="P6" s="8">
        <f>'[2]FY 27-28'!S915</f>
        <v>3361.2481299323463</v>
      </c>
      <c r="Q6" s="8">
        <f>'[2]FY 27-28'!T915</f>
        <v>3133.0254270318615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'[2]FY 27-28'!E916</f>
        <v>7.4999999999999997E-3</v>
      </c>
      <c r="D7" s="4">
        <f>'[2]FY 27-28'!F916</f>
        <v>7.4999999999999997E-3</v>
      </c>
      <c r="E7" s="4">
        <f>'[2]FY 27-28'!G916</f>
        <v>7.4999999999999997E-3</v>
      </c>
      <c r="F7" s="4">
        <f>'[2]FY 27-28'!H916</f>
        <v>7.4999999999999997E-3</v>
      </c>
      <c r="G7" s="4">
        <f>'[2]FY 27-28'!J916</f>
        <v>1.1299999999999999E-2</v>
      </c>
      <c r="H7" s="4">
        <f>'[2]FY 27-28'!K916</f>
        <v>7.4999999999999997E-3</v>
      </c>
      <c r="I7" s="4">
        <f>'[2]FY 27-28'!L916</f>
        <v>7.4999999999999997E-3</v>
      </c>
      <c r="J7" s="4">
        <f>'[2]FY 27-28'!M916</f>
        <v>7.4999999999999997E-3</v>
      </c>
      <c r="K7" s="4">
        <f>'[2]FY 27-28'!N916</f>
        <v>7.4999999999999997E-3</v>
      </c>
      <c r="L7" s="4">
        <f>'[2]FY 27-28'!O916</f>
        <v>7.4999999999999997E-3</v>
      </c>
      <c r="M7" s="4">
        <f>'[2]FY 27-28'!P916</f>
        <v>7.4999999999999997E-3</v>
      </c>
      <c r="N7" s="4">
        <f>'[2]FY 27-28'!Q916</f>
        <v>7.4999999999999997E-3</v>
      </c>
      <c r="O7" s="4">
        <f>'[2]FY 27-28'!R916</f>
        <v>7.4999999999999997E-3</v>
      </c>
      <c r="P7" s="4">
        <f>'[2]FY 27-28'!S916</f>
        <v>5.0000000000000001E-3</v>
      </c>
      <c r="Q7" s="4">
        <f>'[2]FY 27-28'!T916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'[2]FY 27-28'!E917</f>
        <v>0.85</v>
      </c>
      <c r="D8" s="4">
        <f>'[2]FY 27-28'!F917</f>
        <v>0.85</v>
      </c>
      <c r="E8" s="4">
        <f>'[2]FY 27-28'!G917</f>
        <v>0.85</v>
      </c>
      <c r="F8" s="4">
        <f>'[2]FY 27-28'!H917</f>
        <v>0.85</v>
      </c>
      <c r="G8" s="4">
        <f>'[2]FY 27-28'!J917</f>
        <v>0.89</v>
      </c>
      <c r="H8" s="4">
        <f>'[2]FY 27-28'!K917</f>
        <v>0.85</v>
      </c>
      <c r="I8" s="4">
        <f>'[2]FY 27-28'!L917</f>
        <v>0.89</v>
      </c>
      <c r="J8" s="4">
        <f>'[2]FY 27-28'!M917</f>
        <v>0.89</v>
      </c>
      <c r="K8" s="4">
        <f>'[2]FY 27-28'!N917</f>
        <v>0.89</v>
      </c>
      <c r="L8" s="4">
        <f>'[2]FY 27-28'!O917</f>
        <v>0.89</v>
      </c>
      <c r="M8" s="4">
        <f>'[2]FY 27-28'!P917</f>
        <v>0.89</v>
      </c>
      <c r="N8" s="4">
        <f>'[2]FY 27-28'!Q917</f>
        <v>0.89</v>
      </c>
      <c r="O8" s="4">
        <f>'[2]FY 27-28'!R917</f>
        <v>0.89</v>
      </c>
      <c r="P8" s="4">
        <f>'[2]FY 27-28'!S917</f>
        <v>0.89</v>
      </c>
      <c r="Q8" s="4">
        <f>'[2]FY 27-28'!T917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'[2]FY 27-28'!E918</f>
        <v>600</v>
      </c>
      <c r="D9" s="8">
        <f>'[2]FY 27-28'!F918</f>
        <v>600</v>
      </c>
      <c r="E9" s="8">
        <f>'[2]FY 27-28'!G918</f>
        <v>600</v>
      </c>
      <c r="F9" s="8">
        <f>'[2]FY 27-28'!H918</f>
        <v>600</v>
      </c>
      <c r="G9" s="8">
        <f>'[2]FY 27-28'!J918</f>
        <v>600</v>
      </c>
      <c r="H9" s="8">
        <f>'[2]FY 27-28'!K918</f>
        <v>600</v>
      </c>
      <c r="I9" s="8">
        <f>'[2]FY 27-28'!L918</f>
        <v>200</v>
      </c>
      <c r="J9" s="8">
        <f>'[2]FY 27-28'!M918</f>
        <v>200</v>
      </c>
      <c r="K9" s="8">
        <f>'[2]FY 27-28'!N918</f>
        <v>200</v>
      </c>
      <c r="L9" s="8">
        <f>'[2]FY 27-28'!O918</f>
        <v>200</v>
      </c>
      <c r="M9" s="8">
        <f>'[2]FY 27-28'!P918</f>
        <v>200</v>
      </c>
      <c r="N9" s="8">
        <f>'[2]FY 27-28'!Q918</f>
        <v>200</v>
      </c>
      <c r="O9" s="8">
        <f>'[2]FY 27-28'!R918</f>
        <v>200</v>
      </c>
      <c r="P9" s="8">
        <f>'[2]FY 27-28'!S918</f>
        <v>200</v>
      </c>
      <c r="Q9" s="8">
        <f>'[2]FY 27-28'!T918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'[2]FY 27-28'!E919</f>
        <v>0.73</v>
      </c>
      <c r="D10" s="4">
        <f>'[2]FY 27-28'!F919</f>
        <v>0.73</v>
      </c>
      <c r="E10" s="4">
        <f>'[2]FY 27-28'!G919</f>
        <v>0.73</v>
      </c>
      <c r="F10" s="4">
        <f>'[2]FY 27-28'!H919</f>
        <v>0.73</v>
      </c>
      <c r="G10" s="4">
        <f>'[2]FY 27-28'!J919</f>
        <v>0.73</v>
      </c>
      <c r="H10" s="4">
        <f>'[2]FY 27-28'!K919</f>
        <v>0.73</v>
      </c>
      <c r="I10" s="4">
        <f>'[2]FY 27-28'!L919</f>
        <v>0.95</v>
      </c>
      <c r="J10" s="4">
        <f>'[2]FY 27-28'!M919</f>
        <v>0.95</v>
      </c>
      <c r="K10" s="4">
        <f>'[2]FY 27-28'!N919</f>
        <v>0.95</v>
      </c>
      <c r="L10" s="4">
        <f>'[2]FY 27-28'!O919</f>
        <v>0.95</v>
      </c>
      <c r="M10" s="4">
        <f>'[2]FY 27-28'!P919</f>
        <v>0.95</v>
      </c>
      <c r="N10" s="4">
        <f>'[2]FY 27-28'!Q919</f>
        <v>0.95</v>
      </c>
      <c r="O10" s="4">
        <f>'[2]FY 27-28'!R919</f>
        <v>0.95</v>
      </c>
      <c r="P10" s="4">
        <f>'[2]FY 27-28'!S919</f>
        <v>0.95</v>
      </c>
      <c r="Q10" s="4">
        <f>'[2]FY 27-28'!T919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'[2]FY 27-28'!E921</f>
        <v>0.67</v>
      </c>
      <c r="D12" s="18">
        <f>'[2]FY 27-28'!F921</f>
        <v>0.67</v>
      </c>
      <c r="E12" s="18">
        <f>'[2]FY 27-28'!G921</f>
        <v>0.67</v>
      </c>
      <c r="F12" s="18">
        <f>'[2]FY 27-28'!H921</f>
        <v>0.67</v>
      </c>
      <c r="G12" s="18">
        <f>'[2]FY 27-28'!J921</f>
        <v>0.75</v>
      </c>
      <c r="H12" s="18">
        <f>'[2]FY 27-28'!K921</f>
        <v>0.67</v>
      </c>
      <c r="I12" s="18">
        <f>'[2]FY 27-28'!L921</f>
        <v>0.95</v>
      </c>
      <c r="J12" s="18">
        <f>'[2]FY 27-28'!M921</f>
        <v>0.95</v>
      </c>
      <c r="K12" s="18">
        <f>'[2]FY 27-28'!N921</f>
        <v>0.95</v>
      </c>
      <c r="L12" s="18">
        <f>'[2]FY 27-28'!O921</f>
        <v>0.95</v>
      </c>
      <c r="M12" s="18">
        <f>'[2]FY 27-28'!P921</f>
        <v>0.95</v>
      </c>
      <c r="N12" s="18">
        <f>'[2]FY 27-28'!Q921</f>
        <v>0.95</v>
      </c>
      <c r="O12" s="18">
        <f>'[2]FY 27-28'!R921</f>
        <v>0.95</v>
      </c>
      <c r="P12" s="18">
        <f>'[2]FY 27-28'!S921</f>
        <v>0.95</v>
      </c>
      <c r="Q12" s="18">
        <f>'[2]FY 27-28'!T921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14.965431295055312</v>
      </c>
      <c r="D14" s="13">
        <f t="shared" ref="D14:Q14" si="3">(D13*D4*D7/D6)*(85/D8)</f>
        <v>14.984456018736578</v>
      </c>
      <c r="E14" s="13">
        <f t="shared" si="3"/>
        <v>14.984456018736578</v>
      </c>
      <c r="F14" s="13">
        <f t="shared" si="3"/>
        <v>13.693436497986594</v>
      </c>
      <c r="G14" s="13">
        <f t="shared" si="3"/>
        <v>22.061920342054297</v>
      </c>
      <c r="H14" s="13">
        <f t="shared" si="3"/>
        <v>14.288784952592682</v>
      </c>
      <c r="I14" s="13">
        <f t="shared" si="3"/>
        <v>18.182043553503139</v>
      </c>
      <c r="J14" s="13">
        <f t="shared" si="3"/>
        <v>18.264352369693174</v>
      </c>
      <c r="K14" s="13">
        <f t="shared" si="3"/>
        <v>18.264352369693174</v>
      </c>
      <c r="L14" s="13">
        <f t="shared" si="3"/>
        <v>16.051897033179447</v>
      </c>
      <c r="M14" s="13">
        <f t="shared" si="3"/>
        <v>16.051897033179447</v>
      </c>
      <c r="N14" s="13">
        <f t="shared" si="3"/>
        <v>16.051897033179447</v>
      </c>
      <c r="O14" s="13">
        <f t="shared" si="3"/>
        <v>20.453803690799734</v>
      </c>
      <c r="P14" s="13">
        <f t="shared" si="3"/>
        <v>11.876941770261469</v>
      </c>
      <c r="Q14" s="13">
        <f t="shared" si="3"/>
        <v>14.220053015477749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'[2]FY 27-28'!E927</f>
        <v>2943.4549476700004</v>
      </c>
      <c r="D18" s="16">
        <f>'[2]FY 27-28'!F927</f>
        <v>2760.8702066023257</v>
      </c>
      <c r="E18" s="16">
        <f>'[2]FY 27-28'!G927</f>
        <v>2760.8702066023257</v>
      </c>
      <c r="F18" s="16">
        <f>'[2]FY 27-28'!H927</f>
        <v>1379.6066295807666</v>
      </c>
      <c r="G18" s="16">
        <f>'[2]FY 27-28'!J927</f>
        <v>3722.896989137917</v>
      </c>
      <c r="H18" s="16">
        <f>'[2]FY 27-28'!K927</f>
        <v>3723.0369943063938</v>
      </c>
      <c r="I18" s="16">
        <f>'[2]FY 27-28'!L927</f>
        <v>3722.8497024571238</v>
      </c>
      <c r="J18" s="16">
        <f>'[2]FY 27-28'!M927</f>
        <v>3722.858479755972</v>
      </c>
      <c r="K18" s="16">
        <f>'[2]FY 27-28'!N927</f>
        <v>2794.6937628853047</v>
      </c>
      <c r="L18" s="16">
        <f>'[2]FY 27-28'!O927</f>
        <v>4914.2379026016606</v>
      </c>
      <c r="M18" s="16">
        <f>'[2]FY 27-28'!P927</f>
        <v>4914.2379026016606</v>
      </c>
      <c r="N18" s="16">
        <f>'[2]FY 27-28'!Q927</f>
        <v>3689.0443433228907</v>
      </c>
      <c r="O18" s="16">
        <f>'[2]FY 27-28'!R927</f>
        <v>5241.7690848917819</v>
      </c>
      <c r="P18" s="16">
        <f>'[2]FY 27-28'!S927</f>
        <v>5589.5668745917437</v>
      </c>
      <c r="Q18" s="16">
        <f>'[2]FY 27-28'!T927</f>
        <v>1861.4942233804913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'[2]FY 27-28'!E928</f>
        <v>SBC</v>
      </c>
      <c r="D19" s="15" t="str">
        <f>'[2]FY 27-28'!F928</f>
        <v>SBC</v>
      </c>
      <c r="E19" s="15" t="str">
        <f>'[2]FY 27-28'!G928</f>
        <v>SBC</v>
      </c>
      <c r="F19" s="15" t="str">
        <f>'[2]FY 27-28'!H928</f>
        <v>SBC</v>
      </c>
      <c r="G19" s="15" t="str">
        <f>'[2]FY 27-28'!J928</f>
        <v>Limestone</v>
      </c>
      <c r="H19" s="15" t="str">
        <f>'[2]FY 27-28'!K928</f>
        <v>SBC</v>
      </c>
      <c r="I19" s="15" t="str">
        <f>'[2]FY 27-28'!L928</f>
        <v>Limestone</v>
      </c>
      <c r="J19" s="15" t="str">
        <f>'[2]FY 27-28'!M928</f>
        <v>Limestone</v>
      </c>
      <c r="K19" s="15" t="str">
        <f>'[2]FY 27-28'!N928</f>
        <v>Limestone</v>
      </c>
      <c r="L19" s="15" t="str">
        <f>'[2]FY 27-28'!O928</f>
        <v>Limestone</v>
      </c>
      <c r="M19" s="15" t="str">
        <f>'[2]FY 27-28'!P928</f>
        <v>Limestone</v>
      </c>
      <c r="N19" s="15" t="str">
        <f>'[2]FY 27-28'!Q928</f>
        <v>Limestone</v>
      </c>
      <c r="O19" s="15" t="str">
        <f>'[2]FY 27-28'!R928</f>
        <v>Limestone</v>
      </c>
      <c r="P19" s="15" t="str">
        <f>'[2]FY 27-28'!S928</f>
        <v>Limestone</v>
      </c>
      <c r="Q19" s="15" t="str">
        <f>'[2]FY 27-28'!T928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22.061920342054297</v>
      </c>
      <c r="H20" s="12">
        <f t="shared" si="5"/>
        <v>14.117647058823529</v>
      </c>
      <c r="I20" s="12">
        <f t="shared" si="5"/>
        <v>18.182043553503139</v>
      </c>
      <c r="J20" s="12">
        <f t="shared" si="5"/>
        <v>18.264352369693174</v>
      </c>
      <c r="K20" s="12">
        <f t="shared" si="5"/>
        <v>18.264352369693174</v>
      </c>
      <c r="L20" s="12">
        <f t="shared" si="5"/>
        <v>16.051897033179447</v>
      </c>
      <c r="M20" s="12">
        <f t="shared" si="5"/>
        <v>16.051897033179447</v>
      </c>
      <c r="N20" s="12">
        <f t="shared" si="5"/>
        <v>16.051897033179447</v>
      </c>
      <c r="O20" s="12">
        <f t="shared" si="5"/>
        <v>20.453803690799734</v>
      </c>
      <c r="P20" s="12">
        <f t="shared" si="5"/>
        <v>11.876941770261469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41554.658084752948</v>
      </c>
      <c r="D21" s="16">
        <f t="shared" si="6"/>
        <v>38976.991152032831</v>
      </c>
      <c r="E21" s="16">
        <f t="shared" si="6"/>
        <v>38976.991152032831</v>
      </c>
      <c r="F21" s="16">
        <f t="shared" si="6"/>
        <v>19476.799476434353</v>
      </c>
      <c r="G21" s="16">
        <f t="shared" si="6"/>
        <v>82134.256816034511</v>
      </c>
      <c r="H21" s="16">
        <f t="shared" si="6"/>
        <v>52560.522272560855</v>
      </c>
      <c r="I21" s="16">
        <f t="shared" si="6"/>
        <v>67689.015433221633</v>
      </c>
      <c r="J21" s="16">
        <f t="shared" si="6"/>
        <v>67995.599096763312</v>
      </c>
      <c r="K21" s="16">
        <f t="shared" si="6"/>
        <v>51043.271650720948</v>
      </c>
      <c r="L21" s="16">
        <f t="shared" si="6"/>
        <v>78882.840809109592</v>
      </c>
      <c r="M21" s="16">
        <f t="shared" si="6"/>
        <v>78882.840809109592</v>
      </c>
      <c r="N21" s="16">
        <f t="shared" si="6"/>
        <v>59216.159949852132</v>
      </c>
      <c r="O21" s="16">
        <f t="shared" si="6"/>
        <v>107214.11585487948</v>
      </c>
      <c r="P21" s="16">
        <f t="shared" si="6"/>
        <v>66386.960290508534</v>
      </c>
      <c r="Q21" s="16">
        <f t="shared" si="6"/>
        <v>26279.918447724584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ht="29" x14ac:dyDescent="0.35">
      <c r="A23" s="10">
        <f t="shared" si="4"/>
        <v>6</v>
      </c>
      <c r="B23" s="11" t="s">
        <v>33</v>
      </c>
      <c r="C23" s="16">
        <f>C22*C21/10^7</f>
        <v>186.56154898577026</v>
      </c>
      <c r="D23" s="16">
        <f t="shared" ref="D23:Q23" si="8">D22*D21/10^7</f>
        <v>174.98899471864439</v>
      </c>
      <c r="E23" s="16">
        <f t="shared" si="8"/>
        <v>174.98899471864439</v>
      </c>
      <c r="F23" s="16">
        <f t="shared" si="8"/>
        <v>87.441987182227948</v>
      </c>
      <c r="G23" s="16">
        <f t="shared" si="8"/>
        <v>26.519098169477143</v>
      </c>
      <c r="H23" s="16">
        <f t="shared" si="8"/>
        <v>235.97288252668648</v>
      </c>
      <c r="I23" s="16">
        <f t="shared" si="8"/>
        <v>21.855090858001436</v>
      </c>
      <c r="J23" s="16">
        <f t="shared" si="8"/>
        <v>21.954079058367455</v>
      </c>
      <c r="K23" s="16">
        <f t="shared" si="8"/>
        <v>16.480596334226526</v>
      </c>
      <c r="L23" s="16">
        <f t="shared" si="8"/>
        <v>25.46929722624126</v>
      </c>
      <c r="M23" s="16">
        <f t="shared" si="8"/>
        <v>25.46929722624126</v>
      </c>
      <c r="N23" s="16">
        <f t="shared" si="8"/>
        <v>19.119417643808507</v>
      </c>
      <c r="O23" s="16">
        <f t="shared" si="8"/>
        <v>34.616757656644211</v>
      </c>
      <c r="P23" s="16">
        <f t="shared" si="8"/>
        <v>21.434689803797941</v>
      </c>
      <c r="Q23" s="16">
        <f t="shared" si="8"/>
        <v>117.98490274730811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2943.4549476700004</v>
      </c>
      <c r="D27" s="17">
        <f t="shared" ref="D27:Q27" si="9">D18</f>
        <v>2760.8702066023257</v>
      </c>
      <c r="E27" s="17">
        <f t="shared" si="9"/>
        <v>2760.8702066023257</v>
      </c>
      <c r="F27" s="17">
        <f t="shared" si="9"/>
        <v>1379.6066295807666</v>
      </c>
      <c r="G27" s="17">
        <f t="shared" si="9"/>
        <v>3722.896989137917</v>
      </c>
      <c r="H27" s="17">
        <f t="shared" si="9"/>
        <v>3723.0369943063938</v>
      </c>
      <c r="I27" s="17">
        <f t="shared" si="9"/>
        <v>3722.8497024571238</v>
      </c>
      <c r="J27" s="17">
        <f t="shared" si="9"/>
        <v>3722.858479755972</v>
      </c>
      <c r="K27" s="17">
        <f t="shared" si="9"/>
        <v>2794.6937628853047</v>
      </c>
      <c r="L27" s="17">
        <f t="shared" si="9"/>
        <v>4914.2379026016606</v>
      </c>
      <c r="M27" s="17">
        <f t="shared" si="9"/>
        <v>4914.2379026016606</v>
      </c>
      <c r="N27" s="17">
        <f t="shared" si="9"/>
        <v>3689.0443433228907</v>
      </c>
      <c r="O27" s="17">
        <f t="shared" si="9"/>
        <v>5241.7690848917819</v>
      </c>
      <c r="P27" s="17">
        <f t="shared" si="9"/>
        <v>5589.5668745917437</v>
      </c>
      <c r="Q27" s="17">
        <f t="shared" si="9"/>
        <v>1861.4942233804913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'[2]FY 27-28'!E937</f>
        <v>Ammonia</v>
      </c>
      <c r="D28" s="7" t="str">
        <f>'[2]FY 27-28'!F937</f>
        <v>Ammonia</v>
      </c>
      <c r="E28" s="7" t="str">
        <f>'[2]FY 27-28'!G937</f>
        <v>Ammonia</v>
      </c>
      <c r="F28" s="7" t="str">
        <f>'[2]FY 27-28'!H937</f>
        <v>Ammonia</v>
      </c>
      <c r="G28" s="7" t="str">
        <f>'[2]FY 27-28'!J937</f>
        <v>Ammonia</v>
      </c>
      <c r="H28" s="7" t="str">
        <f>'[2]FY 27-28'!K937</f>
        <v>Ammonia</v>
      </c>
      <c r="I28" s="7" t="str">
        <f>'[2]FY 27-28'!L937</f>
        <v>Ammonia</v>
      </c>
      <c r="J28" s="7" t="str">
        <f>'[2]FY 27-28'!M937</f>
        <v>Ammonia</v>
      </c>
      <c r="K28" s="7" t="str">
        <f>'[2]FY 27-28'!N937</f>
        <v>Ammonia</v>
      </c>
      <c r="L28" s="7" t="str">
        <f>'[2]FY 27-28'!O937</f>
        <v>Ammonia</v>
      </c>
      <c r="M28" s="7" t="str">
        <f>'[2]FY 27-28'!P937</f>
        <v>Ammonia</v>
      </c>
      <c r="N28" s="7" t="str">
        <f>'[2]FY 27-28'!Q937</f>
        <v>Ammonia</v>
      </c>
      <c r="O28" s="7" t="str">
        <f>'[2]FY 27-28'!R937</f>
        <v>Ammonia</v>
      </c>
      <c r="P28" s="7" t="str">
        <f>'[2]FY 27-28'!S937</f>
        <v>Ammonia</v>
      </c>
      <c r="Q28" s="7" t="str">
        <f>'[2]FY 27-28'!T937</f>
        <v>Ammonia</v>
      </c>
      <c r="R28" s="7"/>
    </row>
    <row r="29" spans="1:18" ht="29" x14ac:dyDescent="0.35">
      <c r="A29" s="10">
        <f t="shared" ref="A29:A32" si="10">A28+1</f>
        <v>3</v>
      </c>
      <c r="B29" s="11" t="s">
        <v>35</v>
      </c>
      <c r="C29" s="7">
        <f>'[2]FY 27-28'!E938</f>
        <v>0.6</v>
      </c>
      <c r="D29" s="7">
        <f>'[2]FY 27-28'!F938</f>
        <v>0.6</v>
      </c>
      <c r="E29" s="7">
        <f>'[2]FY 27-28'!G938</f>
        <v>0.6</v>
      </c>
      <c r="F29" s="7">
        <f>'[2]FY 27-28'!H938</f>
        <v>0.6</v>
      </c>
      <c r="G29" s="7">
        <f>'[2]FY 27-28'!J938</f>
        <v>0.6</v>
      </c>
      <c r="H29" s="7">
        <f>'[2]FY 27-28'!K938</f>
        <v>0.6</v>
      </c>
      <c r="I29" s="7">
        <f>'[2]FY 27-28'!L938</f>
        <v>0.6</v>
      </c>
      <c r="J29" s="7">
        <f>'[2]FY 27-28'!M938</f>
        <v>0.6</v>
      </c>
      <c r="K29" s="7">
        <f>'[2]FY 27-28'!N938</f>
        <v>0.6</v>
      </c>
      <c r="L29" s="7">
        <f>'[2]FY 27-28'!O938</f>
        <v>0.6</v>
      </c>
      <c r="M29" s="7">
        <f>'[2]FY 27-28'!P938</f>
        <v>0.6</v>
      </c>
      <c r="N29" s="7">
        <f>'[2]FY 27-28'!Q938</f>
        <v>0.6</v>
      </c>
      <c r="O29" s="7">
        <f>'[2]FY 27-28'!R938</f>
        <v>0.6</v>
      </c>
      <c r="P29" s="7">
        <f>'[2]FY 27-28'!S938</f>
        <v>0.6</v>
      </c>
      <c r="Q29" s="7">
        <f>'[2]FY 27-28'!T938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1766.0729686020002</v>
      </c>
      <c r="D30" s="16">
        <f t="shared" si="11"/>
        <v>1656.5221239613954</v>
      </c>
      <c r="E30" s="16">
        <f t="shared" si="11"/>
        <v>1656.5221239613954</v>
      </c>
      <c r="F30" s="16">
        <f t="shared" si="11"/>
        <v>827.76397774845998</v>
      </c>
      <c r="G30" s="16">
        <f t="shared" si="11"/>
        <v>2233.7381934827499</v>
      </c>
      <c r="H30" s="16">
        <f t="shared" si="11"/>
        <v>2233.8221965838361</v>
      </c>
      <c r="I30" s="16">
        <f t="shared" si="11"/>
        <v>2233.7098214742741</v>
      </c>
      <c r="J30" s="16">
        <f t="shared" si="11"/>
        <v>2233.7150878535831</v>
      </c>
      <c r="K30" s="16">
        <f t="shared" si="11"/>
        <v>1676.8162577311828</v>
      </c>
      <c r="L30" s="16">
        <f t="shared" si="11"/>
        <v>2948.5427415609961</v>
      </c>
      <c r="M30" s="16">
        <f t="shared" si="11"/>
        <v>2948.5427415609961</v>
      </c>
      <c r="N30" s="16">
        <f t="shared" si="11"/>
        <v>2213.4266059937345</v>
      </c>
      <c r="O30" s="16">
        <f t="shared" si="11"/>
        <v>3145.0614509350689</v>
      </c>
      <c r="P30" s="16">
        <f t="shared" si="11"/>
        <v>3353.7401247550461</v>
      </c>
      <c r="Q30" s="16">
        <f t="shared" si="11"/>
        <v>1116.8965340282948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'[2]FY 27-28'!E940</f>
        <v>116.82</v>
      </c>
      <c r="D31" s="7">
        <f>'[2]FY 27-28'!F940</f>
        <v>116.82</v>
      </c>
      <c r="E31" s="7">
        <f>'[2]FY 27-28'!G940</f>
        <v>116.82</v>
      </c>
      <c r="F31" s="7">
        <f>'[2]FY 27-28'!H940</f>
        <v>116.82</v>
      </c>
      <c r="G31" s="7">
        <f>'[2]FY 27-28'!J940</f>
        <v>116.82</v>
      </c>
      <c r="H31" s="7">
        <f>'[2]FY 27-28'!K940</f>
        <v>116.82</v>
      </c>
      <c r="I31" s="7">
        <f>'[2]FY 27-28'!L940</f>
        <v>116.82</v>
      </c>
      <c r="J31" s="7">
        <f>'[2]FY 27-28'!M940</f>
        <v>116.82</v>
      </c>
      <c r="K31" s="7">
        <f>'[2]FY 27-28'!N940</f>
        <v>116.82</v>
      </c>
      <c r="L31" s="7">
        <f>'[2]FY 27-28'!O940</f>
        <v>116.82</v>
      </c>
      <c r="M31" s="7">
        <f>'[2]FY 27-28'!P940</f>
        <v>116.82</v>
      </c>
      <c r="N31" s="7">
        <f>'[2]FY 27-28'!Q940</f>
        <v>116.82</v>
      </c>
      <c r="O31" s="7">
        <f>'[2]FY 27-28'!R940</f>
        <v>116.82</v>
      </c>
      <c r="P31" s="7">
        <f>'[2]FY 27-28'!S940</f>
        <v>116.82</v>
      </c>
      <c r="Q31" s="7">
        <f>'[2]FY 27-28'!T940</f>
        <v>116.82</v>
      </c>
      <c r="R31" s="7"/>
    </row>
    <row r="32" spans="1:18" ht="29" x14ac:dyDescent="0.35">
      <c r="A32" s="10">
        <f t="shared" si="10"/>
        <v>6</v>
      </c>
      <c r="B32" s="11" t="s">
        <v>38</v>
      </c>
      <c r="C32" s="16">
        <f>C31*C30/10^7</f>
        <v>2.0631264419208567E-2</v>
      </c>
      <c r="D32" s="16">
        <f t="shared" ref="D32:Q32" si="12">D31*D30/10^7</f>
        <v>1.9351491452117019E-2</v>
      </c>
      <c r="E32" s="16">
        <f t="shared" si="12"/>
        <v>1.9351491452117019E-2</v>
      </c>
      <c r="F32" s="16">
        <f t="shared" si="12"/>
        <v>9.6699387880575093E-3</v>
      </c>
      <c r="G32" s="16">
        <f t="shared" si="12"/>
        <v>2.6094529576265482E-2</v>
      </c>
      <c r="H32" s="16">
        <f t="shared" si="12"/>
        <v>2.6095510900492374E-2</v>
      </c>
      <c r="I32" s="16">
        <f t="shared" si="12"/>
        <v>2.6094198134462468E-2</v>
      </c>
      <c r="J32" s="16">
        <f t="shared" si="12"/>
        <v>2.6094259656305557E-2</v>
      </c>
      <c r="K32" s="16">
        <f t="shared" si="12"/>
        <v>1.9588567522815677E-2</v>
      </c>
      <c r="L32" s="16">
        <f t="shared" si="12"/>
        <v>3.4444876306915555E-2</v>
      </c>
      <c r="M32" s="16">
        <f t="shared" si="12"/>
        <v>3.4444876306915555E-2</v>
      </c>
      <c r="N32" s="16">
        <f t="shared" si="12"/>
        <v>2.5857249611218804E-2</v>
      </c>
      <c r="O32" s="16">
        <f t="shared" si="12"/>
        <v>3.6740607869823472E-2</v>
      </c>
      <c r="P32" s="16">
        <f t="shared" si="12"/>
        <v>3.9178392137388447E-2</v>
      </c>
      <c r="Q32" s="16">
        <f t="shared" si="12"/>
        <v>1.304758531051854E-2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186.58218025018948</v>
      </c>
      <c r="D34" s="21">
        <f t="shared" ref="D34:Q34" si="13">D23+D32</f>
        <v>175.00834621009651</v>
      </c>
      <c r="E34" s="21">
        <f t="shared" si="13"/>
        <v>175.00834621009651</v>
      </c>
      <c r="F34" s="21">
        <f t="shared" si="13"/>
        <v>87.451657121015998</v>
      </c>
      <c r="G34" s="21">
        <f t="shared" si="13"/>
        <v>26.545192699053409</v>
      </c>
      <c r="H34" s="21">
        <f t="shared" si="13"/>
        <v>235.99897803758697</v>
      </c>
      <c r="I34" s="21">
        <f t="shared" si="13"/>
        <v>21.881185056135898</v>
      </c>
      <c r="J34" s="21">
        <f t="shared" si="13"/>
        <v>21.980173318023759</v>
      </c>
      <c r="K34" s="21">
        <f t="shared" si="13"/>
        <v>16.500184901749343</v>
      </c>
      <c r="L34" s="21">
        <f t="shared" si="13"/>
        <v>25.503742102548173</v>
      </c>
      <c r="M34" s="21">
        <f t="shared" si="13"/>
        <v>25.503742102548173</v>
      </c>
      <c r="N34" s="21">
        <f t="shared" si="13"/>
        <v>19.145274893419725</v>
      </c>
      <c r="O34" s="21">
        <f t="shared" si="13"/>
        <v>34.653498264514035</v>
      </c>
      <c r="P34" s="21">
        <f t="shared" si="13"/>
        <v>21.473868195935328</v>
      </c>
      <c r="Q34" s="21">
        <f t="shared" si="13"/>
        <v>117.99795033261863</v>
      </c>
      <c r="R3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14831-1330-4216-B1B6-0190F85B63C1}">
  <dimension ref="A1:R34"/>
  <sheetViews>
    <sheetView showGridLines="0" workbookViewId="0">
      <pane xSplit="2" ySplit="3" topLeftCell="K4" activePane="bottomRight" state="frozen"/>
      <selection activeCell="Q2" sqref="Q2"/>
      <selection pane="topRight" activeCell="Q2" sqref="Q2"/>
      <selection pane="bottomLeft" activeCell="Q2" sqref="Q2"/>
      <selection pane="bottomRight" activeCell="R3" sqref="R3:R20"/>
    </sheetView>
  </sheetViews>
  <sheetFormatPr defaultRowHeight="14.5" x14ac:dyDescent="0.35"/>
  <cols>
    <col min="1" max="1" width="8.7265625" style="5"/>
    <col min="2" max="2" width="22.1796875" style="5" customWidth="1"/>
    <col min="3" max="17" width="10.08984375" style="5" bestFit="1" customWidth="1"/>
    <col min="18" max="18" width="28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C2" s="36">
        <f>'25-26'!C2</f>
        <v>45808</v>
      </c>
      <c r="D2" s="36">
        <f>'25-26'!D2</f>
        <v>45808</v>
      </c>
      <c r="E2" s="36">
        <f>'25-26'!E2</f>
        <v>45565</v>
      </c>
      <c r="F2" s="36">
        <f>'25-26'!F2</f>
        <v>45596</v>
      </c>
      <c r="G2" s="36">
        <f>'25-26'!G2</f>
        <v>45838</v>
      </c>
      <c r="H2" s="36">
        <f>'25-26'!H2</f>
        <v>45688</v>
      </c>
      <c r="I2" s="36">
        <f>'25-26'!I2</f>
        <v>46477</v>
      </c>
      <c r="J2" s="36">
        <f>'25-26'!J2</f>
        <v>46477</v>
      </c>
      <c r="K2" s="36">
        <f>'25-26'!K2</f>
        <v>46568</v>
      </c>
      <c r="L2" s="36">
        <f>'25-26'!L2</f>
        <v>46387</v>
      </c>
      <c r="M2" s="36">
        <f>'25-26'!M2</f>
        <v>46477</v>
      </c>
      <c r="N2" s="36">
        <f>'25-26'!N2</f>
        <v>46568</v>
      </c>
      <c r="O2" s="36">
        <f>'25-26'!O2</f>
        <v>46691</v>
      </c>
      <c r="P2" s="36">
        <f>'25-26'!P2</f>
        <v>46568</v>
      </c>
      <c r="Q2" s="36">
        <f>'25-26'!Q2</f>
        <v>45688</v>
      </c>
    </row>
    <row r="3" spans="1:18" s="6" customFormat="1" ht="29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'[2]FY 28-29'!E913</f>
        <v>2688</v>
      </c>
      <c r="D4" s="1">
        <f>'[2]FY 28-29'!F913</f>
        <v>2630</v>
      </c>
      <c r="E4" s="1">
        <f>'[2]FY 28-29'!G913</f>
        <v>2630</v>
      </c>
      <c r="F4" s="1">
        <f>'[2]FY 28-29'!H913</f>
        <v>2455.75</v>
      </c>
      <c r="G4" s="1">
        <f>'[2]FY 28-29'!J913</f>
        <v>2415</v>
      </c>
      <c r="H4" s="1">
        <f>'[2]FY 28-29'!K913</f>
        <v>2415</v>
      </c>
      <c r="I4" s="1">
        <f>'[2]FY 28-29'!L913</f>
        <v>2375</v>
      </c>
      <c r="J4" s="1">
        <f>'[2]FY 28-29'!M913</f>
        <v>2375</v>
      </c>
      <c r="K4" s="1">
        <f>'[2]FY 28-29'!N913</f>
        <v>2375</v>
      </c>
      <c r="L4" s="1">
        <f>'[2]FY 28-29'!O913</f>
        <v>2230</v>
      </c>
      <c r="M4" s="1">
        <f>'[2]FY 28-29'!P913</f>
        <v>2230</v>
      </c>
      <c r="N4" s="1">
        <f>'[2]FY 28-29'!Q913</f>
        <v>2230</v>
      </c>
      <c r="O4" s="1">
        <f>'[2]FY 28-29'!R913</f>
        <v>2688</v>
      </c>
      <c r="P4" s="1">
        <f>'[2]FY 28-29'!S913</f>
        <v>2375</v>
      </c>
      <c r="Q4" s="1">
        <f>'[2]FY 28-29'!T913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'[2]FY 28-29'!E914</f>
        <v>3403.3567338476223</v>
      </c>
      <c r="D5" s="8">
        <f>'[2]FY 28-29'!F914</f>
        <v>3321.0004396049203</v>
      </c>
      <c r="E5" s="8">
        <f>'[2]FY 28-29'!G914</f>
        <v>3321.0004396049203</v>
      </c>
      <c r="F5" s="8">
        <f>'[2]FY 28-29'!H914</f>
        <v>3393.4128622510025</v>
      </c>
      <c r="G5" s="8">
        <f>'[2]FY 28-29'!J914</f>
        <v>3337.7776913961407</v>
      </c>
      <c r="H5" s="8">
        <f>'[2]FY 28-29'!K914</f>
        <v>3202.9549429182944</v>
      </c>
      <c r="I5" s="8">
        <f>'[2]FY 28-29'!L914</f>
        <v>3378.4704119313706</v>
      </c>
      <c r="J5" s="8">
        <f>'[2]FY 28-29'!M914</f>
        <v>3363.6246378465489</v>
      </c>
      <c r="K5" s="8">
        <f>'[2]FY 28-29'!N914</f>
        <v>3363.6246378465489</v>
      </c>
      <c r="L5" s="8">
        <f>'[2]FY 28-29'!O914</f>
        <v>3545.412668867812</v>
      </c>
      <c r="M5" s="8">
        <f>'[2]FY 28-29'!P914</f>
        <v>3545.412668867812</v>
      </c>
      <c r="N5" s="8">
        <f>'[2]FY 28-29'!Q914</f>
        <v>3545.412668867812</v>
      </c>
      <c r="O5" s="8">
        <f>'[2]FY 28-29'!R914</f>
        <v>3403.3567338476223</v>
      </c>
      <c r="P5" s="8">
        <f>'[2]FY 28-29'!S914</f>
        <v>3338.9966352092088</v>
      </c>
      <c r="Q5" s="8">
        <f>'[2]FY 28-29'!T914</f>
        <v>3218.0254270318615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'[2]FY 28-29'!E915</f>
        <v>3318.3567338476223</v>
      </c>
      <c r="D6" s="8">
        <f>'[2]FY 28-29'!F915</f>
        <v>3236.0004396049203</v>
      </c>
      <c r="E6" s="8">
        <f>'[2]FY 28-29'!G915</f>
        <v>3236.0004396049203</v>
      </c>
      <c r="F6" s="8">
        <f>'[2]FY 28-29'!H915</f>
        <v>3308.4128622510025</v>
      </c>
      <c r="G6" s="8">
        <f>'[2]FY 28-29'!J915</f>
        <v>3252.7776913961407</v>
      </c>
      <c r="H6" s="8">
        <f>'[2]FY 28-29'!K915</f>
        <v>3117.9549429182944</v>
      </c>
      <c r="I6" s="8">
        <f>'[2]FY 28-29'!L915</f>
        <v>3293.4704119313706</v>
      </c>
      <c r="J6" s="8">
        <f>'[2]FY 28-29'!M915</f>
        <v>3278.6246378465489</v>
      </c>
      <c r="K6" s="8">
        <f>'[2]FY 28-29'!N915</f>
        <v>3278.6246378465489</v>
      </c>
      <c r="L6" s="8">
        <f>'[2]FY 28-29'!O915</f>
        <v>3460.412668867812</v>
      </c>
      <c r="M6" s="8">
        <f>'[2]FY 28-29'!P915</f>
        <v>3460.412668867812</v>
      </c>
      <c r="N6" s="8">
        <f>'[2]FY 28-29'!Q915</f>
        <v>3460.412668867812</v>
      </c>
      <c r="O6" s="8">
        <f>'[2]FY 28-29'!R915</f>
        <v>3318.3567338476223</v>
      </c>
      <c r="P6" s="8">
        <f>'[2]FY 28-29'!S915</f>
        <v>3253.9966352092088</v>
      </c>
      <c r="Q6" s="8">
        <f>'[2]FY 28-29'!T915</f>
        <v>3133.0254270318615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'[2]FY 28-29'!E916</f>
        <v>7.4999999999999997E-3</v>
      </c>
      <c r="D7" s="4">
        <f>'[2]FY 28-29'!F916</f>
        <v>7.4999999999999997E-3</v>
      </c>
      <c r="E7" s="4">
        <f>'[2]FY 28-29'!G916</f>
        <v>7.4999999999999997E-3</v>
      </c>
      <c r="F7" s="4">
        <f>'[2]FY 28-29'!H916</f>
        <v>7.4999999999999997E-3</v>
      </c>
      <c r="G7" s="4">
        <f>'[2]FY 28-29'!J916</f>
        <v>1.1299999999999999E-2</v>
      </c>
      <c r="H7" s="4">
        <f>'[2]FY 28-29'!K916</f>
        <v>7.4999999999999997E-3</v>
      </c>
      <c r="I7" s="4">
        <f>'[2]FY 28-29'!L916</f>
        <v>7.4999999999999997E-3</v>
      </c>
      <c r="J7" s="4">
        <f>'[2]FY 28-29'!M916</f>
        <v>7.4999999999999997E-3</v>
      </c>
      <c r="K7" s="4">
        <f>'[2]FY 28-29'!N916</f>
        <v>7.4999999999999997E-3</v>
      </c>
      <c r="L7" s="4">
        <f>'[2]FY 28-29'!O916</f>
        <v>7.4999999999999997E-3</v>
      </c>
      <c r="M7" s="4">
        <f>'[2]FY 28-29'!P916</f>
        <v>7.4999999999999997E-3</v>
      </c>
      <c r="N7" s="4">
        <f>'[2]FY 28-29'!Q916</f>
        <v>7.4999999999999997E-3</v>
      </c>
      <c r="O7" s="4">
        <f>'[2]FY 28-29'!R916</f>
        <v>7.4999999999999997E-3</v>
      </c>
      <c r="P7" s="4">
        <f>'[2]FY 28-29'!S916</f>
        <v>5.0000000000000001E-3</v>
      </c>
      <c r="Q7" s="4">
        <f>'[2]FY 28-29'!T916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'[2]FY 28-29'!E917</f>
        <v>0.85</v>
      </c>
      <c r="D8" s="4">
        <f>'[2]FY 28-29'!F917</f>
        <v>0.85</v>
      </c>
      <c r="E8" s="4">
        <f>'[2]FY 28-29'!G917</f>
        <v>0.85</v>
      </c>
      <c r="F8" s="4">
        <f>'[2]FY 28-29'!H917</f>
        <v>0.85</v>
      </c>
      <c r="G8" s="4">
        <f>'[2]FY 28-29'!J917</f>
        <v>0.89</v>
      </c>
      <c r="H8" s="4">
        <f>'[2]FY 28-29'!K917</f>
        <v>0.85</v>
      </c>
      <c r="I8" s="4">
        <f>'[2]FY 28-29'!L917</f>
        <v>0.89</v>
      </c>
      <c r="J8" s="4">
        <f>'[2]FY 28-29'!M917</f>
        <v>0.89</v>
      </c>
      <c r="K8" s="4">
        <f>'[2]FY 28-29'!N917</f>
        <v>0.89</v>
      </c>
      <c r="L8" s="4">
        <f>'[2]FY 28-29'!O917</f>
        <v>0.89</v>
      </c>
      <c r="M8" s="4">
        <f>'[2]FY 28-29'!P917</f>
        <v>0.89</v>
      </c>
      <c r="N8" s="4">
        <f>'[2]FY 28-29'!Q917</f>
        <v>0.89</v>
      </c>
      <c r="O8" s="4">
        <f>'[2]FY 28-29'!R917</f>
        <v>0.89</v>
      </c>
      <c r="P8" s="4">
        <f>'[2]FY 28-29'!S917</f>
        <v>0.89</v>
      </c>
      <c r="Q8" s="4">
        <f>'[2]FY 28-29'!T917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'[2]FY 28-29'!E918</f>
        <v>600</v>
      </c>
      <c r="D9" s="8">
        <f>'[2]FY 28-29'!F918</f>
        <v>600</v>
      </c>
      <c r="E9" s="8">
        <f>'[2]FY 28-29'!G918</f>
        <v>600</v>
      </c>
      <c r="F9" s="8">
        <f>'[2]FY 28-29'!H918</f>
        <v>600</v>
      </c>
      <c r="G9" s="8">
        <f>'[2]FY 28-29'!J918</f>
        <v>600</v>
      </c>
      <c r="H9" s="8">
        <f>'[2]FY 28-29'!K918</f>
        <v>600</v>
      </c>
      <c r="I9" s="8">
        <f>'[2]FY 28-29'!L918</f>
        <v>200</v>
      </c>
      <c r="J9" s="8">
        <f>'[2]FY 28-29'!M918</f>
        <v>200</v>
      </c>
      <c r="K9" s="8">
        <f>'[2]FY 28-29'!N918</f>
        <v>200</v>
      </c>
      <c r="L9" s="8">
        <f>'[2]FY 28-29'!O918</f>
        <v>200</v>
      </c>
      <c r="M9" s="8">
        <f>'[2]FY 28-29'!P918</f>
        <v>200</v>
      </c>
      <c r="N9" s="8">
        <f>'[2]FY 28-29'!Q918</f>
        <v>200</v>
      </c>
      <c r="O9" s="8">
        <f>'[2]FY 28-29'!R918</f>
        <v>200</v>
      </c>
      <c r="P9" s="8">
        <f>'[2]FY 28-29'!S918</f>
        <v>200</v>
      </c>
      <c r="Q9" s="8">
        <f>'[2]FY 28-29'!T918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'[2]FY 28-29'!E919</f>
        <v>0.73</v>
      </c>
      <c r="D10" s="4">
        <f>'[2]FY 28-29'!F919</f>
        <v>0.73</v>
      </c>
      <c r="E10" s="4">
        <f>'[2]FY 28-29'!G919</f>
        <v>0.73</v>
      </c>
      <c r="F10" s="4">
        <f>'[2]FY 28-29'!H919</f>
        <v>0.73</v>
      </c>
      <c r="G10" s="4">
        <f>'[2]FY 28-29'!J919</f>
        <v>0.73</v>
      </c>
      <c r="H10" s="4">
        <f>'[2]FY 28-29'!K919</f>
        <v>0.73</v>
      </c>
      <c r="I10" s="4">
        <f>'[2]FY 28-29'!L919</f>
        <v>0.95</v>
      </c>
      <c r="J10" s="4">
        <f>'[2]FY 28-29'!M919</f>
        <v>0.95</v>
      </c>
      <c r="K10" s="4">
        <f>'[2]FY 28-29'!N919</f>
        <v>0.95</v>
      </c>
      <c r="L10" s="4">
        <f>'[2]FY 28-29'!O919</f>
        <v>0.95</v>
      </c>
      <c r="M10" s="4">
        <f>'[2]FY 28-29'!P919</f>
        <v>0.95</v>
      </c>
      <c r="N10" s="4">
        <f>'[2]FY 28-29'!Q919</f>
        <v>0.95</v>
      </c>
      <c r="O10" s="4">
        <f>'[2]FY 28-29'!R919</f>
        <v>0.95</v>
      </c>
      <c r="P10" s="4">
        <f>'[2]FY 28-29'!S919</f>
        <v>0.95</v>
      </c>
      <c r="Q10" s="4">
        <f>'[2]FY 28-29'!T919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'[2]FY 28-29'!E921</f>
        <v>0.67</v>
      </c>
      <c r="D12" s="18">
        <f>'[2]FY 28-29'!F921</f>
        <v>0.67</v>
      </c>
      <c r="E12" s="18">
        <f>'[2]FY 28-29'!G921</f>
        <v>0.67</v>
      </c>
      <c r="F12" s="18">
        <f>'[2]FY 28-29'!H921</f>
        <v>0.67</v>
      </c>
      <c r="G12" s="18">
        <f>'[2]FY 28-29'!J921</f>
        <v>0.75</v>
      </c>
      <c r="H12" s="18">
        <f>'[2]FY 28-29'!K921</f>
        <v>0.67</v>
      </c>
      <c r="I12" s="18">
        <f>'[2]FY 28-29'!L921</f>
        <v>0.95</v>
      </c>
      <c r="J12" s="18">
        <f>'[2]FY 28-29'!M921</f>
        <v>0.95</v>
      </c>
      <c r="K12" s="18">
        <f>'[2]FY 28-29'!N921</f>
        <v>0.95</v>
      </c>
      <c r="L12" s="18">
        <f>'[2]FY 28-29'!O921</f>
        <v>0.95</v>
      </c>
      <c r="M12" s="18">
        <f>'[2]FY 28-29'!P921</f>
        <v>0.95</v>
      </c>
      <c r="N12" s="18">
        <f>'[2]FY 28-29'!Q921</f>
        <v>0.95</v>
      </c>
      <c r="O12" s="18">
        <f>'[2]FY 28-29'!R921</f>
        <v>0.95</v>
      </c>
      <c r="P12" s="18">
        <f>'[2]FY 28-29'!S921</f>
        <v>0.95</v>
      </c>
      <c r="Q12" s="18">
        <f>'[2]FY 28-29'!T921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14.94356414623077</v>
      </c>
      <c r="D14" s="13">
        <f t="shared" ref="D14:Q14" si="3">(D13*D4*D7/D6)*(85/D8)</f>
        <v>14.993229078897929</v>
      </c>
      <c r="E14" s="13">
        <f t="shared" si="3"/>
        <v>14.993229078897929</v>
      </c>
      <c r="F14" s="13">
        <f t="shared" si="3"/>
        <v>13.693436497986594</v>
      </c>
      <c r="G14" s="13">
        <f t="shared" si="3"/>
        <v>22.061920342054297</v>
      </c>
      <c r="H14" s="13">
        <f t="shared" si="3"/>
        <v>14.288784952592678</v>
      </c>
      <c r="I14" s="13">
        <f t="shared" si="3"/>
        <v>18.182043553503139</v>
      </c>
      <c r="J14" s="13">
        <f t="shared" si="3"/>
        <v>18.264372743578704</v>
      </c>
      <c r="K14" s="13">
        <f t="shared" si="3"/>
        <v>18.264372743578704</v>
      </c>
      <c r="L14" s="13">
        <f t="shared" si="3"/>
        <v>16.248370583536943</v>
      </c>
      <c r="M14" s="13">
        <f t="shared" si="3"/>
        <v>16.248370583536943</v>
      </c>
      <c r="N14" s="13">
        <f t="shared" si="3"/>
        <v>16.248370583536943</v>
      </c>
      <c r="O14" s="13">
        <f t="shared" si="3"/>
        <v>20.423917056695011</v>
      </c>
      <c r="P14" s="13">
        <f t="shared" si="3"/>
        <v>12.268404915557044</v>
      </c>
      <c r="Q14" s="13">
        <f t="shared" si="3"/>
        <v>14.220053015477749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'[2]FY 28-29'!E927</f>
        <v>2943.2419037065379</v>
      </c>
      <c r="D18" s="16">
        <f>'[2]FY 28-29'!F927</f>
        <v>2760.9665115990397</v>
      </c>
      <c r="E18" s="16">
        <f>'[2]FY 28-29'!G927</f>
        <v>2760.9665115990397</v>
      </c>
      <c r="F18" s="16">
        <f>'[2]FY 28-29'!H927</f>
        <v>1379.6066295807666</v>
      </c>
      <c r="G18" s="16">
        <f>'[2]FY 28-29'!J927</f>
        <v>3722.896989137917</v>
      </c>
      <c r="H18" s="16">
        <f>'[2]FY 28-29'!K927</f>
        <v>3723.1661021715258</v>
      </c>
      <c r="I18" s="16">
        <f>'[2]FY 28-29'!L927</f>
        <v>3722.8497024571238</v>
      </c>
      <c r="J18" s="16">
        <f>'[2]FY 28-29'!M927</f>
        <v>3722.9233591345424</v>
      </c>
      <c r="K18" s="16">
        <f>'[2]FY 28-29'!N927</f>
        <v>3722.9233591345424</v>
      </c>
      <c r="L18" s="16">
        <f>'[2]FY 28-29'!O927</f>
        <v>4914.3982133750033</v>
      </c>
      <c r="M18" s="16">
        <f>'[2]FY 28-29'!P927</f>
        <v>4914.3982133750033</v>
      </c>
      <c r="N18" s="16">
        <f>'[2]FY 28-29'!Q927</f>
        <v>4914.3982133750033</v>
      </c>
      <c r="O18" s="16">
        <f>'[2]FY 28-29'!R927</f>
        <v>10511.578227523347</v>
      </c>
      <c r="P18" s="16">
        <f>'[2]FY 28-29'!S927</f>
        <v>7445.7985345501256</v>
      </c>
      <c r="Q18" s="16">
        <f>'[2]FY 28-29'!T927</f>
        <v>1861.4942233804913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'[2]FY 28-29'!E928</f>
        <v>SBC</v>
      </c>
      <c r="D19" s="15" t="str">
        <f>'[2]FY 28-29'!F928</f>
        <v>SBC</v>
      </c>
      <c r="E19" s="15" t="str">
        <f>'[2]FY 28-29'!G928</f>
        <v>SBC</v>
      </c>
      <c r="F19" s="15" t="str">
        <f>'[2]FY 28-29'!H928</f>
        <v>SBC</v>
      </c>
      <c r="G19" s="15" t="str">
        <f>'[2]FY 28-29'!J928</f>
        <v>Limestone</v>
      </c>
      <c r="H19" s="15" t="str">
        <f>'[2]FY 28-29'!K928</f>
        <v>SBC</v>
      </c>
      <c r="I19" s="15" t="str">
        <f>'[2]FY 28-29'!L928</f>
        <v>Limestone</v>
      </c>
      <c r="J19" s="15" t="str">
        <f>'[2]FY 28-29'!M928</f>
        <v>Limestone</v>
      </c>
      <c r="K19" s="15" t="str">
        <f>'[2]FY 28-29'!N928</f>
        <v>Limestone</v>
      </c>
      <c r="L19" s="15" t="str">
        <f>'[2]FY 28-29'!O928</f>
        <v>Limestone</v>
      </c>
      <c r="M19" s="15" t="str">
        <f>'[2]FY 28-29'!P928</f>
        <v>Limestone</v>
      </c>
      <c r="N19" s="15" t="str">
        <f>'[2]FY 28-29'!Q928</f>
        <v>Limestone</v>
      </c>
      <c r="O19" s="15" t="str">
        <f>'[2]FY 28-29'!R928</f>
        <v>Limestone</v>
      </c>
      <c r="P19" s="15" t="str">
        <f>'[2]FY 28-29'!S928</f>
        <v>Limestone</v>
      </c>
      <c r="Q19" s="15" t="str">
        <f>'[2]FY 28-29'!T928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22.061920342054297</v>
      </c>
      <c r="H20" s="12">
        <f t="shared" si="5"/>
        <v>14.117647058823529</v>
      </c>
      <c r="I20" s="12">
        <f t="shared" si="5"/>
        <v>18.182043553503139</v>
      </c>
      <c r="J20" s="12">
        <f t="shared" si="5"/>
        <v>18.264372743578704</v>
      </c>
      <c r="K20" s="12">
        <f t="shared" si="5"/>
        <v>18.264372743578704</v>
      </c>
      <c r="L20" s="12">
        <f t="shared" si="5"/>
        <v>16.248370583536943</v>
      </c>
      <c r="M20" s="12">
        <f t="shared" si="5"/>
        <v>16.248370583536943</v>
      </c>
      <c r="N20" s="12">
        <f t="shared" si="5"/>
        <v>16.248370583536943</v>
      </c>
      <c r="O20" s="12">
        <f t="shared" si="5"/>
        <v>20.423917056695011</v>
      </c>
      <c r="P20" s="12">
        <f t="shared" si="5"/>
        <v>12.268404915557044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41551.650405268767</v>
      </c>
      <c r="D21" s="16">
        <f t="shared" si="6"/>
        <v>38978.350751986443</v>
      </c>
      <c r="E21" s="16">
        <f t="shared" si="6"/>
        <v>38978.350751986443</v>
      </c>
      <c r="F21" s="16">
        <f t="shared" si="6"/>
        <v>19476.799476434353</v>
      </c>
      <c r="G21" s="16">
        <f t="shared" si="6"/>
        <v>82134.256816034511</v>
      </c>
      <c r="H21" s="16">
        <f t="shared" si="6"/>
        <v>52562.344971833307</v>
      </c>
      <c r="I21" s="16">
        <f t="shared" si="6"/>
        <v>67689.015433221633</v>
      </c>
      <c r="J21" s="16">
        <f t="shared" si="6"/>
        <v>67996.859927009413</v>
      </c>
      <c r="K21" s="16">
        <f t="shared" si="6"/>
        <v>67996.859927009413</v>
      </c>
      <c r="L21" s="16">
        <f t="shared" si="6"/>
        <v>79850.963365988908</v>
      </c>
      <c r="M21" s="16">
        <f t="shared" si="6"/>
        <v>79850.963365988908</v>
      </c>
      <c r="N21" s="16">
        <f t="shared" si="6"/>
        <v>79850.963365988908</v>
      </c>
      <c r="O21" s="16">
        <f t="shared" si="6"/>
        <v>214687.601853898</v>
      </c>
      <c r="P21" s="16">
        <f t="shared" si="6"/>
        <v>91348.071341522198</v>
      </c>
      <c r="Q21" s="16">
        <f t="shared" si="6"/>
        <v>26279.918447724584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ht="29" x14ac:dyDescent="0.35">
      <c r="A23" s="10">
        <f t="shared" si="4"/>
        <v>6</v>
      </c>
      <c r="B23" s="11" t="s">
        <v>33</v>
      </c>
      <c r="C23" s="16">
        <f>C22*C21/10^7</f>
        <v>186.54804587037276</v>
      </c>
      <c r="D23" s="16">
        <f t="shared" ref="D23:Q23" si="8">D22*D21/10^7</f>
        <v>174.99509870517772</v>
      </c>
      <c r="E23" s="16">
        <f t="shared" si="8"/>
        <v>174.99509870517772</v>
      </c>
      <c r="F23" s="16">
        <f t="shared" si="8"/>
        <v>87.441987182227948</v>
      </c>
      <c r="G23" s="16">
        <f t="shared" si="8"/>
        <v>26.519098169477143</v>
      </c>
      <c r="H23" s="16">
        <f t="shared" si="8"/>
        <v>235.98106561891433</v>
      </c>
      <c r="I23" s="16">
        <f t="shared" si="8"/>
        <v>21.855090858001436</v>
      </c>
      <c r="J23" s="16">
        <f t="shared" si="8"/>
        <v>21.954486148933164</v>
      </c>
      <c r="K23" s="16">
        <f t="shared" si="8"/>
        <v>21.954486148933164</v>
      </c>
      <c r="L23" s="16">
        <f t="shared" si="8"/>
        <v>25.781879796793671</v>
      </c>
      <c r="M23" s="16">
        <f t="shared" si="8"/>
        <v>25.781879796793671</v>
      </c>
      <c r="N23" s="16">
        <f t="shared" si="8"/>
        <v>25.781879796793671</v>
      </c>
      <c r="O23" s="16">
        <f t="shared" si="8"/>
        <v>69.317259448577317</v>
      </c>
      <c r="P23" s="16">
        <f t="shared" si="8"/>
        <v>29.494008534393977</v>
      </c>
      <c r="Q23" s="16">
        <f t="shared" si="8"/>
        <v>117.98490274730811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2943.2419037065379</v>
      </c>
      <c r="D27" s="17">
        <f t="shared" ref="D27:Q27" si="9">D18</f>
        <v>2760.9665115990397</v>
      </c>
      <c r="E27" s="17">
        <f t="shared" si="9"/>
        <v>2760.9665115990397</v>
      </c>
      <c r="F27" s="17">
        <f t="shared" si="9"/>
        <v>1379.6066295807666</v>
      </c>
      <c r="G27" s="17">
        <f t="shared" si="9"/>
        <v>3722.896989137917</v>
      </c>
      <c r="H27" s="17">
        <f t="shared" si="9"/>
        <v>3723.1661021715258</v>
      </c>
      <c r="I27" s="17">
        <f t="shared" si="9"/>
        <v>3722.8497024571238</v>
      </c>
      <c r="J27" s="17">
        <f t="shared" si="9"/>
        <v>3722.9233591345424</v>
      </c>
      <c r="K27" s="17">
        <f t="shared" si="9"/>
        <v>3722.9233591345424</v>
      </c>
      <c r="L27" s="17">
        <f t="shared" si="9"/>
        <v>4914.3982133750033</v>
      </c>
      <c r="M27" s="17">
        <f t="shared" si="9"/>
        <v>4914.3982133750033</v>
      </c>
      <c r="N27" s="17">
        <f t="shared" si="9"/>
        <v>4914.3982133750033</v>
      </c>
      <c r="O27" s="17">
        <f t="shared" si="9"/>
        <v>10511.578227523347</v>
      </c>
      <c r="P27" s="17">
        <f t="shared" si="9"/>
        <v>7445.7985345501256</v>
      </c>
      <c r="Q27" s="17">
        <f t="shared" si="9"/>
        <v>1861.4942233804913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'[2]FY 28-29'!E937</f>
        <v>Ammonia</v>
      </c>
      <c r="D28" s="7" t="str">
        <f>'[2]FY 28-29'!F937</f>
        <v>Ammonia</v>
      </c>
      <c r="E28" s="7" t="str">
        <f>'[2]FY 28-29'!G937</f>
        <v>Ammonia</v>
      </c>
      <c r="F28" s="7" t="str">
        <f>'[2]FY 28-29'!H937</f>
        <v>Ammonia</v>
      </c>
      <c r="G28" s="7" t="str">
        <f>'[2]FY 28-29'!J937</f>
        <v>Ammonia</v>
      </c>
      <c r="H28" s="7" t="str">
        <f>'[2]FY 28-29'!K937</f>
        <v>Ammonia</v>
      </c>
      <c r="I28" s="7" t="str">
        <f>'[2]FY 28-29'!L937</f>
        <v>Ammonia</v>
      </c>
      <c r="J28" s="7" t="str">
        <f>'[2]FY 28-29'!M937</f>
        <v>Ammonia</v>
      </c>
      <c r="K28" s="7" t="str">
        <f>'[2]FY 28-29'!N937</f>
        <v>Ammonia</v>
      </c>
      <c r="L28" s="7" t="str">
        <f>'[2]FY 28-29'!O937</f>
        <v>Ammonia</v>
      </c>
      <c r="M28" s="7" t="str">
        <f>'[2]FY 28-29'!P937</f>
        <v>Ammonia</v>
      </c>
      <c r="N28" s="7" t="str">
        <f>'[2]FY 28-29'!Q937</f>
        <v>Ammonia</v>
      </c>
      <c r="O28" s="7" t="str">
        <f>'[2]FY 28-29'!R937</f>
        <v>Ammonia</v>
      </c>
      <c r="P28" s="7" t="str">
        <f>'[2]FY 28-29'!S937</f>
        <v>Ammonia</v>
      </c>
      <c r="Q28" s="7" t="str">
        <f>'[2]FY 28-29'!T937</f>
        <v>Ammonia</v>
      </c>
      <c r="R28" s="7"/>
    </row>
    <row r="29" spans="1:18" ht="29" x14ac:dyDescent="0.35">
      <c r="A29" s="10">
        <f t="shared" ref="A29:A32" si="10">A28+1</f>
        <v>3</v>
      </c>
      <c r="B29" s="11" t="s">
        <v>35</v>
      </c>
      <c r="C29" s="7">
        <f>'[2]FY 28-29'!E938</f>
        <v>0.6</v>
      </c>
      <c r="D29" s="7">
        <f>'[2]FY 28-29'!F938</f>
        <v>0.6</v>
      </c>
      <c r="E29" s="7">
        <f>'[2]FY 28-29'!G938</f>
        <v>0.6</v>
      </c>
      <c r="F29" s="7">
        <f>'[2]FY 28-29'!H938</f>
        <v>0.6</v>
      </c>
      <c r="G29" s="7">
        <f>'[2]FY 28-29'!J938</f>
        <v>0.6</v>
      </c>
      <c r="H29" s="7">
        <f>'[2]FY 28-29'!K938</f>
        <v>0.6</v>
      </c>
      <c r="I29" s="7">
        <f>'[2]FY 28-29'!L938</f>
        <v>0.6</v>
      </c>
      <c r="J29" s="7">
        <f>'[2]FY 28-29'!M938</f>
        <v>0.6</v>
      </c>
      <c r="K29" s="7">
        <f>'[2]FY 28-29'!N938</f>
        <v>0.6</v>
      </c>
      <c r="L29" s="7">
        <f>'[2]FY 28-29'!O938</f>
        <v>0.6</v>
      </c>
      <c r="M29" s="7">
        <f>'[2]FY 28-29'!P938</f>
        <v>0.6</v>
      </c>
      <c r="N29" s="7">
        <f>'[2]FY 28-29'!Q938</f>
        <v>0.6</v>
      </c>
      <c r="O29" s="7">
        <f>'[2]FY 28-29'!R938</f>
        <v>0.6</v>
      </c>
      <c r="P29" s="7">
        <f>'[2]FY 28-29'!S938</f>
        <v>0.6</v>
      </c>
      <c r="Q29" s="7">
        <f>'[2]FY 28-29'!T938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1765.9451422239226</v>
      </c>
      <c r="D30" s="16">
        <f t="shared" si="11"/>
        <v>1656.5799069594239</v>
      </c>
      <c r="E30" s="16">
        <f t="shared" si="11"/>
        <v>1656.5799069594239</v>
      </c>
      <c r="F30" s="16">
        <f t="shared" si="11"/>
        <v>827.76397774845998</v>
      </c>
      <c r="G30" s="16">
        <f t="shared" si="11"/>
        <v>2233.7381934827499</v>
      </c>
      <c r="H30" s="16">
        <f t="shared" si="11"/>
        <v>2233.8996613029153</v>
      </c>
      <c r="I30" s="16">
        <f t="shared" si="11"/>
        <v>2233.7098214742741</v>
      </c>
      <c r="J30" s="16">
        <f t="shared" si="11"/>
        <v>2233.7540154807252</v>
      </c>
      <c r="K30" s="16">
        <f t="shared" si="11"/>
        <v>2233.7540154807252</v>
      </c>
      <c r="L30" s="16">
        <f t="shared" si="11"/>
        <v>2948.6389280250019</v>
      </c>
      <c r="M30" s="16">
        <f t="shared" si="11"/>
        <v>2948.6389280250019</v>
      </c>
      <c r="N30" s="16">
        <f t="shared" si="11"/>
        <v>2948.6389280250019</v>
      </c>
      <c r="O30" s="16">
        <f t="shared" si="11"/>
        <v>6306.9469365140076</v>
      </c>
      <c r="P30" s="16">
        <f t="shared" si="11"/>
        <v>4467.479120730075</v>
      </c>
      <c r="Q30" s="16">
        <f t="shared" si="11"/>
        <v>1116.8965340282948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'[2]FY 28-29'!E940</f>
        <v>116.82</v>
      </c>
      <c r="D31" s="7">
        <f>'[2]FY 28-29'!F940</f>
        <v>116.82</v>
      </c>
      <c r="E31" s="7">
        <f>'[2]FY 28-29'!G940</f>
        <v>116.82</v>
      </c>
      <c r="F31" s="7">
        <f>'[2]FY 28-29'!H940</f>
        <v>116.82</v>
      </c>
      <c r="G31" s="7">
        <f>'[2]FY 28-29'!J940</f>
        <v>116.82</v>
      </c>
      <c r="H31" s="7">
        <f>'[2]FY 28-29'!K940</f>
        <v>116.82</v>
      </c>
      <c r="I31" s="7">
        <f>'[2]FY 28-29'!L940</f>
        <v>116.82</v>
      </c>
      <c r="J31" s="7">
        <f>'[2]FY 28-29'!M940</f>
        <v>116.82</v>
      </c>
      <c r="K31" s="7">
        <f>'[2]FY 28-29'!N940</f>
        <v>116.82</v>
      </c>
      <c r="L31" s="7">
        <f>'[2]FY 28-29'!O940</f>
        <v>116.82</v>
      </c>
      <c r="M31" s="7">
        <f>'[2]FY 28-29'!P940</f>
        <v>116.82</v>
      </c>
      <c r="N31" s="7">
        <f>'[2]FY 28-29'!Q940</f>
        <v>116.82</v>
      </c>
      <c r="O31" s="7">
        <f>'[2]FY 28-29'!R940</f>
        <v>116.82</v>
      </c>
      <c r="P31" s="7">
        <f>'[2]FY 28-29'!S940</f>
        <v>116.82</v>
      </c>
      <c r="Q31" s="7">
        <f>'[2]FY 28-29'!T940</f>
        <v>116.82</v>
      </c>
      <c r="R31" s="7"/>
    </row>
    <row r="32" spans="1:18" ht="29" x14ac:dyDescent="0.35">
      <c r="A32" s="10">
        <f t="shared" si="10"/>
        <v>6</v>
      </c>
      <c r="B32" s="11" t="s">
        <v>38</v>
      </c>
      <c r="C32" s="16">
        <f>C31*C30/10^7</f>
        <v>2.0629771151459864E-2</v>
      </c>
      <c r="D32" s="16">
        <f t="shared" ref="D32:Q32" si="12">D31*D30/10^7</f>
        <v>1.9352166473099987E-2</v>
      </c>
      <c r="E32" s="16">
        <f t="shared" si="12"/>
        <v>1.9352166473099987E-2</v>
      </c>
      <c r="F32" s="16">
        <f t="shared" si="12"/>
        <v>9.6699387880575093E-3</v>
      </c>
      <c r="G32" s="16">
        <f t="shared" si="12"/>
        <v>2.6094529576265482E-2</v>
      </c>
      <c r="H32" s="16">
        <f t="shared" si="12"/>
        <v>2.6096415843340656E-2</v>
      </c>
      <c r="I32" s="16">
        <f t="shared" si="12"/>
        <v>2.6094198134462468E-2</v>
      </c>
      <c r="J32" s="16">
        <f t="shared" si="12"/>
        <v>2.609471440884583E-2</v>
      </c>
      <c r="K32" s="16">
        <f t="shared" si="12"/>
        <v>2.609471440884583E-2</v>
      </c>
      <c r="L32" s="16">
        <f t="shared" si="12"/>
        <v>3.444599995718807E-2</v>
      </c>
      <c r="M32" s="16">
        <f t="shared" si="12"/>
        <v>3.444599995718807E-2</v>
      </c>
      <c r="N32" s="16">
        <f t="shared" si="12"/>
        <v>3.444599995718807E-2</v>
      </c>
      <c r="O32" s="16">
        <f t="shared" si="12"/>
        <v>7.3677754112356636E-2</v>
      </c>
      <c r="P32" s="16">
        <f t="shared" si="12"/>
        <v>5.2189091088368729E-2</v>
      </c>
      <c r="Q32" s="16">
        <f t="shared" si="12"/>
        <v>1.304758531051854E-2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186.56867564152421</v>
      </c>
      <c r="D34" s="21">
        <f t="shared" ref="D34:Q34" si="13">D23+D32</f>
        <v>175.01445087165084</v>
      </c>
      <c r="E34" s="21">
        <f t="shared" si="13"/>
        <v>175.01445087165084</v>
      </c>
      <c r="F34" s="21">
        <f t="shared" si="13"/>
        <v>87.451657121015998</v>
      </c>
      <c r="G34" s="21">
        <f t="shared" si="13"/>
        <v>26.545192699053409</v>
      </c>
      <c r="H34" s="21">
        <f t="shared" si="13"/>
        <v>236.00716203475767</v>
      </c>
      <c r="I34" s="21">
        <f t="shared" si="13"/>
        <v>21.881185056135898</v>
      </c>
      <c r="J34" s="21">
        <f t="shared" si="13"/>
        <v>21.980580863342009</v>
      </c>
      <c r="K34" s="21">
        <f t="shared" si="13"/>
        <v>21.980580863342009</v>
      </c>
      <c r="L34" s="21">
        <f t="shared" si="13"/>
        <v>25.81632579675086</v>
      </c>
      <c r="M34" s="21">
        <f t="shared" si="13"/>
        <v>25.81632579675086</v>
      </c>
      <c r="N34" s="21">
        <f t="shared" si="13"/>
        <v>25.81632579675086</v>
      </c>
      <c r="O34" s="21">
        <f t="shared" si="13"/>
        <v>69.39093720268967</v>
      </c>
      <c r="P34" s="21">
        <f t="shared" si="13"/>
        <v>29.546197625482346</v>
      </c>
      <c r="Q34" s="21">
        <f t="shared" si="13"/>
        <v>117.99795033261863</v>
      </c>
      <c r="R34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CD08-3B86-4FCC-87CD-EB729E5F2460}">
  <dimension ref="A1:R34"/>
  <sheetViews>
    <sheetView showGridLines="0" workbookViewId="0">
      <pane xSplit="2" ySplit="3" topLeftCell="L26" activePane="bottomRight" state="frozen"/>
      <selection activeCell="Q2" sqref="Q2"/>
      <selection pane="topRight" activeCell="Q2" sqref="Q2"/>
      <selection pane="bottomLeft" activeCell="Q2" sqref="Q2"/>
      <selection pane="bottomRight" activeCell="R36" sqref="R36"/>
    </sheetView>
  </sheetViews>
  <sheetFormatPr defaultRowHeight="14.5" x14ac:dyDescent="0.35"/>
  <cols>
    <col min="1" max="1" width="8.7265625" style="5"/>
    <col min="2" max="2" width="22.1796875" style="5" customWidth="1"/>
    <col min="3" max="17" width="10.08984375" style="5" bestFit="1" customWidth="1"/>
    <col min="18" max="18" width="25.1796875" style="5" customWidth="1"/>
    <col min="19" max="16384" width="8.7265625" style="5"/>
  </cols>
  <sheetData>
    <row r="1" spans="1:18" x14ac:dyDescent="0.35">
      <c r="A1" s="3" t="s">
        <v>41</v>
      </c>
    </row>
    <row r="2" spans="1:18" x14ac:dyDescent="0.35">
      <c r="A2" s="3"/>
      <c r="C2" s="36">
        <f>'25-26'!C2</f>
        <v>45808</v>
      </c>
      <c r="D2" s="36">
        <f>'25-26'!D2</f>
        <v>45808</v>
      </c>
      <c r="E2" s="36">
        <f>'25-26'!E2</f>
        <v>45565</v>
      </c>
      <c r="F2" s="36">
        <f>'25-26'!F2</f>
        <v>45596</v>
      </c>
      <c r="G2" s="36">
        <f>'25-26'!G2</f>
        <v>45838</v>
      </c>
      <c r="H2" s="36">
        <f>'25-26'!H2</f>
        <v>45688</v>
      </c>
      <c r="I2" s="36">
        <f>'25-26'!I2</f>
        <v>46477</v>
      </c>
      <c r="J2" s="36">
        <f>'25-26'!J2</f>
        <v>46477</v>
      </c>
      <c r="K2" s="36">
        <f>'25-26'!K2</f>
        <v>46568</v>
      </c>
      <c r="L2" s="36">
        <f>'25-26'!L2</f>
        <v>46387</v>
      </c>
      <c r="M2" s="36">
        <f>'25-26'!M2</f>
        <v>46477</v>
      </c>
      <c r="N2" s="36">
        <f>'25-26'!N2</f>
        <v>46568</v>
      </c>
      <c r="O2" s="36">
        <f>'25-26'!O2</f>
        <v>46691</v>
      </c>
      <c r="P2" s="36">
        <f>'25-26'!P2</f>
        <v>46568</v>
      </c>
      <c r="Q2" s="36">
        <f>'25-26'!Q2</f>
        <v>45688</v>
      </c>
    </row>
    <row r="3" spans="1:18" s="6" customFormat="1" ht="29" x14ac:dyDescent="0.35">
      <c r="A3" s="9" t="s">
        <v>39</v>
      </c>
      <c r="B3" s="2" t="s">
        <v>1</v>
      </c>
      <c r="C3" s="9" t="s">
        <v>4</v>
      </c>
      <c r="D3" s="9" t="s">
        <v>5</v>
      </c>
      <c r="E3" s="9" t="s">
        <v>6</v>
      </c>
      <c r="F3" s="9" t="s">
        <v>0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22" t="s">
        <v>63</v>
      </c>
    </row>
    <row r="4" spans="1:18" x14ac:dyDescent="0.35">
      <c r="A4" s="10">
        <v>1</v>
      </c>
      <c r="B4" s="11" t="s">
        <v>18</v>
      </c>
      <c r="C4" s="1">
        <f>'[2]FY 29-30'!E913</f>
        <v>2688</v>
      </c>
      <c r="D4" s="1">
        <f>'[2]FY 29-30'!F913</f>
        <v>2630</v>
      </c>
      <c r="E4" s="1">
        <f>'[2]FY 29-30'!G913</f>
        <v>2630</v>
      </c>
      <c r="F4" s="1">
        <f>'[2]FY 29-30'!H913</f>
        <v>2455.75</v>
      </c>
      <c r="G4" s="1">
        <f>'[2]FY 29-30'!J913</f>
        <v>2415</v>
      </c>
      <c r="H4" s="1">
        <f>'[2]FY 29-30'!K913</f>
        <v>2415</v>
      </c>
      <c r="I4" s="1">
        <f>'[2]FY 29-30'!L913</f>
        <v>2375</v>
      </c>
      <c r="J4" s="1">
        <f>'[2]FY 29-30'!M913</f>
        <v>2375</v>
      </c>
      <c r="K4" s="1">
        <f>'[2]FY 29-30'!N913</f>
        <v>2375</v>
      </c>
      <c r="L4" s="1">
        <f>'[2]FY 29-30'!O913</f>
        <v>2230</v>
      </c>
      <c r="M4" s="1">
        <f>'[2]FY 29-30'!P913</f>
        <v>2230</v>
      </c>
      <c r="N4" s="1">
        <f>'[2]FY 29-30'!Q913</f>
        <v>2230</v>
      </c>
      <c r="O4" s="1">
        <f>'[2]FY 29-30'!R913</f>
        <v>2688</v>
      </c>
      <c r="P4" s="1">
        <f>'[2]FY 29-30'!S913</f>
        <v>2375</v>
      </c>
      <c r="Q4" s="1">
        <f>'[2]FY 29-30'!T913</f>
        <v>2415</v>
      </c>
      <c r="R4" s="7"/>
    </row>
    <row r="5" spans="1:18" x14ac:dyDescent="0.35">
      <c r="A5" s="10">
        <f>A4+1</f>
        <v>2</v>
      </c>
      <c r="B5" s="11" t="s">
        <v>19</v>
      </c>
      <c r="C5" s="8">
        <f>'[2]FY 29-30'!E914</f>
        <v>3403.3519942495404</v>
      </c>
      <c r="D5" s="8">
        <f>'[2]FY 29-30'!F914</f>
        <v>3321.0004396049203</v>
      </c>
      <c r="E5" s="8">
        <f>'[2]FY 29-30'!G914</f>
        <v>3321.0004396049203</v>
      </c>
      <c r="F5" s="8">
        <f>'[2]FY 29-30'!H914</f>
        <v>3393.4128622510025</v>
      </c>
      <c r="G5" s="8">
        <f>'[2]FY 29-30'!J914</f>
        <v>3337.7776913961402</v>
      </c>
      <c r="H5" s="8">
        <f>'[2]FY 29-30'!K914</f>
        <v>3202.9549429182944</v>
      </c>
      <c r="I5" s="8">
        <f>'[2]FY 29-30'!L914</f>
        <v>3378.4704119313706</v>
      </c>
      <c r="J5" s="8">
        <f>'[2]FY 29-30'!M914</f>
        <v>3363.6246378465489</v>
      </c>
      <c r="K5" s="8">
        <f>'[2]FY 29-30'!N914</f>
        <v>3363.6246378465489</v>
      </c>
      <c r="L5" s="8">
        <f>'[2]FY 29-30'!O914</f>
        <v>3487.0346049376922</v>
      </c>
      <c r="M5" s="8">
        <f>'[2]FY 29-30'!P914</f>
        <v>3487.0346049376922</v>
      </c>
      <c r="N5" s="8">
        <f>'[2]FY 29-30'!Q914</f>
        <v>3487.0346049376922</v>
      </c>
      <c r="O5" s="8">
        <f>'[2]FY 29-30'!R914</f>
        <v>3403.3519942495404</v>
      </c>
      <c r="P5" s="8">
        <f>'[2]FY 29-30'!S914</f>
        <v>3352.6797974090391</v>
      </c>
      <c r="Q5" s="8">
        <f>'[2]FY 29-30'!T914</f>
        <v>3218.0254270318615</v>
      </c>
      <c r="R5" s="7"/>
    </row>
    <row r="6" spans="1:18" x14ac:dyDescent="0.35">
      <c r="A6" s="10">
        <f t="shared" ref="A6:A12" si="0">A5+1</f>
        <v>3</v>
      </c>
      <c r="B6" s="11" t="s">
        <v>20</v>
      </c>
      <c r="C6" s="8">
        <f>'[2]FY 29-30'!E915</f>
        <v>3318.3519942495404</v>
      </c>
      <c r="D6" s="8">
        <f>'[2]FY 29-30'!F915</f>
        <v>3236.0004396049203</v>
      </c>
      <c r="E6" s="8">
        <f>'[2]FY 29-30'!G915</f>
        <v>3236.0004396049203</v>
      </c>
      <c r="F6" s="8">
        <f>'[2]FY 29-30'!H915</f>
        <v>3308.4128622510025</v>
      </c>
      <c r="G6" s="8">
        <f>'[2]FY 29-30'!J915</f>
        <v>3252.7776913961402</v>
      </c>
      <c r="H6" s="8">
        <f>'[2]FY 29-30'!K915</f>
        <v>3117.9549429182944</v>
      </c>
      <c r="I6" s="8">
        <f>'[2]FY 29-30'!L915</f>
        <v>3293.4704119313706</v>
      </c>
      <c r="J6" s="8">
        <f>'[2]FY 29-30'!M915</f>
        <v>3278.6246378465489</v>
      </c>
      <c r="K6" s="8">
        <f>'[2]FY 29-30'!N915</f>
        <v>3278.6246378465489</v>
      </c>
      <c r="L6" s="8">
        <f>'[2]FY 29-30'!O915</f>
        <v>3402.0346049376922</v>
      </c>
      <c r="M6" s="8">
        <f>'[2]FY 29-30'!P915</f>
        <v>3402.0346049376922</v>
      </c>
      <c r="N6" s="8">
        <f>'[2]FY 29-30'!Q915</f>
        <v>3402.0346049376922</v>
      </c>
      <c r="O6" s="8">
        <f>'[2]FY 29-30'!R915</f>
        <v>3318.3519942495404</v>
      </c>
      <c r="P6" s="8">
        <f>'[2]FY 29-30'!S915</f>
        <v>3267.6797974090391</v>
      </c>
      <c r="Q6" s="8">
        <f>'[2]FY 29-30'!T915</f>
        <v>3133.0254270318615</v>
      </c>
      <c r="R6" s="7"/>
    </row>
    <row r="7" spans="1:18" x14ac:dyDescent="0.35">
      <c r="A7" s="10">
        <f t="shared" si="0"/>
        <v>4</v>
      </c>
      <c r="B7" s="11" t="s">
        <v>21</v>
      </c>
      <c r="C7" s="4">
        <f>'[2]FY 29-30'!E916</f>
        <v>7.4999999999999997E-3</v>
      </c>
      <c r="D7" s="4">
        <f>'[2]FY 29-30'!F916</f>
        <v>7.4999999999999997E-3</v>
      </c>
      <c r="E7" s="4">
        <f>'[2]FY 29-30'!G916</f>
        <v>7.4999999999999997E-3</v>
      </c>
      <c r="F7" s="4">
        <f>'[2]FY 29-30'!H916</f>
        <v>7.4999999999999997E-3</v>
      </c>
      <c r="G7" s="4">
        <f>'[2]FY 29-30'!J916</f>
        <v>1.1299999999999999E-2</v>
      </c>
      <c r="H7" s="4">
        <f>'[2]FY 29-30'!K916</f>
        <v>7.4999999999999997E-3</v>
      </c>
      <c r="I7" s="4">
        <f>'[2]FY 29-30'!L916</f>
        <v>7.4999999999999997E-3</v>
      </c>
      <c r="J7" s="4">
        <f>'[2]FY 29-30'!M916</f>
        <v>7.4999999999999997E-3</v>
      </c>
      <c r="K7" s="4">
        <f>'[2]FY 29-30'!N916</f>
        <v>7.4999999999999997E-3</v>
      </c>
      <c r="L7" s="4">
        <f>'[2]FY 29-30'!O916</f>
        <v>7.4999999999999997E-3</v>
      </c>
      <c r="M7" s="4">
        <f>'[2]FY 29-30'!P916</f>
        <v>7.4999999999999997E-3</v>
      </c>
      <c r="N7" s="4">
        <f>'[2]FY 29-30'!Q916</f>
        <v>7.4999999999999997E-3</v>
      </c>
      <c r="O7" s="4">
        <f>'[2]FY 29-30'!R916</f>
        <v>7.4999999999999997E-3</v>
      </c>
      <c r="P7" s="4">
        <f>'[2]FY 29-30'!S916</f>
        <v>5.0000000000000001E-3</v>
      </c>
      <c r="Q7" s="4">
        <f>'[2]FY 29-30'!T916</f>
        <v>7.4999999999999997E-3</v>
      </c>
      <c r="R7" s="7"/>
    </row>
    <row r="8" spans="1:18" x14ac:dyDescent="0.35">
      <c r="A8" s="10">
        <f t="shared" si="0"/>
        <v>5</v>
      </c>
      <c r="B8" s="11" t="s">
        <v>22</v>
      </c>
      <c r="C8" s="4">
        <f>'[2]FY 29-30'!E917</f>
        <v>0.85</v>
      </c>
      <c r="D8" s="4">
        <f>'[2]FY 29-30'!F917</f>
        <v>0.85</v>
      </c>
      <c r="E8" s="4">
        <f>'[2]FY 29-30'!G917</f>
        <v>0.85</v>
      </c>
      <c r="F8" s="4">
        <f>'[2]FY 29-30'!H917</f>
        <v>0.85</v>
      </c>
      <c r="G8" s="4">
        <f>'[2]FY 29-30'!J917</f>
        <v>0.89</v>
      </c>
      <c r="H8" s="4">
        <f>'[2]FY 29-30'!K917</f>
        <v>0.85</v>
      </c>
      <c r="I8" s="4">
        <f>'[2]FY 29-30'!L917</f>
        <v>0.89</v>
      </c>
      <c r="J8" s="4">
        <f>'[2]FY 29-30'!M917</f>
        <v>0.89</v>
      </c>
      <c r="K8" s="4">
        <f>'[2]FY 29-30'!N917</f>
        <v>0.89</v>
      </c>
      <c r="L8" s="4">
        <f>'[2]FY 29-30'!O917</f>
        <v>0.89</v>
      </c>
      <c r="M8" s="4">
        <f>'[2]FY 29-30'!P917</f>
        <v>0.89</v>
      </c>
      <c r="N8" s="4">
        <f>'[2]FY 29-30'!Q917</f>
        <v>0.89</v>
      </c>
      <c r="O8" s="4">
        <f>'[2]FY 29-30'!R917</f>
        <v>0.89</v>
      </c>
      <c r="P8" s="4">
        <f>'[2]FY 29-30'!S917</f>
        <v>0.89</v>
      </c>
      <c r="Q8" s="4">
        <f>'[2]FY 29-30'!T917</f>
        <v>0.85</v>
      </c>
      <c r="R8" s="7"/>
    </row>
    <row r="9" spans="1:18" ht="43.5" x14ac:dyDescent="0.35">
      <c r="A9" s="10">
        <f t="shared" si="0"/>
        <v>6</v>
      </c>
      <c r="B9" s="11" t="s">
        <v>23</v>
      </c>
      <c r="C9" s="8">
        <f>'[2]FY 29-30'!E918</f>
        <v>600</v>
      </c>
      <c r="D9" s="8">
        <f>'[2]FY 29-30'!F918</f>
        <v>600</v>
      </c>
      <c r="E9" s="8">
        <f>'[2]FY 29-30'!G918</f>
        <v>600</v>
      </c>
      <c r="F9" s="8">
        <f>'[2]FY 29-30'!H918</f>
        <v>600</v>
      </c>
      <c r="G9" s="8">
        <f>'[2]FY 29-30'!J918</f>
        <v>600</v>
      </c>
      <c r="H9" s="8">
        <f>'[2]FY 29-30'!K918</f>
        <v>600</v>
      </c>
      <c r="I9" s="8">
        <f>'[2]FY 29-30'!L918</f>
        <v>200</v>
      </c>
      <c r="J9" s="8">
        <f>'[2]FY 29-30'!M918</f>
        <v>200</v>
      </c>
      <c r="K9" s="8">
        <f>'[2]FY 29-30'!N918</f>
        <v>200</v>
      </c>
      <c r="L9" s="8">
        <f>'[2]FY 29-30'!O918</f>
        <v>200</v>
      </c>
      <c r="M9" s="8">
        <f>'[2]FY 29-30'!P918</f>
        <v>200</v>
      </c>
      <c r="N9" s="8">
        <f>'[2]FY 29-30'!Q918</f>
        <v>200</v>
      </c>
      <c r="O9" s="8">
        <f>'[2]FY 29-30'!R918</f>
        <v>200</v>
      </c>
      <c r="P9" s="8">
        <f>'[2]FY 29-30'!S918</f>
        <v>200</v>
      </c>
      <c r="Q9" s="8">
        <f>'[2]FY 29-30'!T918</f>
        <v>600</v>
      </c>
      <c r="R9" s="7"/>
    </row>
    <row r="10" spans="1:18" ht="29" x14ac:dyDescent="0.35">
      <c r="A10" s="10">
        <f t="shared" si="0"/>
        <v>7</v>
      </c>
      <c r="B10" s="11" t="s">
        <v>24</v>
      </c>
      <c r="C10" s="4">
        <f>'[2]FY 29-30'!E919</f>
        <v>0.73</v>
      </c>
      <c r="D10" s="4">
        <f>'[2]FY 29-30'!F919</f>
        <v>0.73</v>
      </c>
      <c r="E10" s="4">
        <f>'[2]FY 29-30'!G919</f>
        <v>0.73</v>
      </c>
      <c r="F10" s="4">
        <f>'[2]FY 29-30'!H919</f>
        <v>0.73</v>
      </c>
      <c r="G10" s="4">
        <f>'[2]FY 29-30'!J919</f>
        <v>0.73</v>
      </c>
      <c r="H10" s="4">
        <f>'[2]FY 29-30'!K919</f>
        <v>0.73</v>
      </c>
      <c r="I10" s="4">
        <f>'[2]FY 29-30'!L919</f>
        <v>0.95</v>
      </c>
      <c r="J10" s="4">
        <f>'[2]FY 29-30'!M919</f>
        <v>0.95</v>
      </c>
      <c r="K10" s="4">
        <f>'[2]FY 29-30'!N919</f>
        <v>0.95</v>
      </c>
      <c r="L10" s="4">
        <f>'[2]FY 29-30'!O919</f>
        <v>0.95</v>
      </c>
      <c r="M10" s="4">
        <f>'[2]FY 29-30'!P919</f>
        <v>0.95</v>
      </c>
      <c r="N10" s="4">
        <f>'[2]FY 29-30'!Q919</f>
        <v>0.95</v>
      </c>
      <c r="O10" s="4">
        <f>'[2]FY 29-30'!R919</f>
        <v>0.95</v>
      </c>
      <c r="P10" s="4">
        <f>'[2]FY 29-30'!S919</f>
        <v>0.95</v>
      </c>
      <c r="Q10" s="4">
        <f>'[2]FY 29-30'!T919</f>
        <v>0.73</v>
      </c>
      <c r="R10" s="7"/>
    </row>
    <row r="11" spans="1:18" x14ac:dyDescent="0.35">
      <c r="A11" s="10">
        <f t="shared" si="0"/>
        <v>8</v>
      </c>
      <c r="B11" s="11" t="s">
        <v>25</v>
      </c>
      <c r="C11" s="7">
        <f>IF(C10=73%,26.8,35.2)</f>
        <v>26.8</v>
      </c>
      <c r="D11" s="7">
        <f t="shared" ref="D11:Q11" si="1">IF(D10=73%,26.8,35.2)</f>
        <v>26.8</v>
      </c>
      <c r="E11" s="7">
        <f t="shared" si="1"/>
        <v>26.8</v>
      </c>
      <c r="F11" s="7">
        <f t="shared" si="1"/>
        <v>26.8</v>
      </c>
      <c r="G11" s="7">
        <f t="shared" si="1"/>
        <v>26.8</v>
      </c>
      <c r="H11" s="7">
        <f t="shared" si="1"/>
        <v>26.8</v>
      </c>
      <c r="I11" s="7">
        <f t="shared" si="1"/>
        <v>35.200000000000003</v>
      </c>
      <c r="J11" s="7">
        <f t="shared" si="1"/>
        <v>35.200000000000003</v>
      </c>
      <c r="K11" s="7">
        <f t="shared" si="1"/>
        <v>35.200000000000003</v>
      </c>
      <c r="L11" s="7">
        <f t="shared" si="1"/>
        <v>35.200000000000003</v>
      </c>
      <c r="M11" s="7">
        <f t="shared" si="1"/>
        <v>35.200000000000003</v>
      </c>
      <c r="N11" s="7">
        <f t="shared" si="1"/>
        <v>35.200000000000003</v>
      </c>
      <c r="O11" s="7">
        <f t="shared" si="1"/>
        <v>35.200000000000003</v>
      </c>
      <c r="P11" s="7">
        <f t="shared" si="1"/>
        <v>35.200000000000003</v>
      </c>
      <c r="Q11" s="7">
        <f t="shared" si="1"/>
        <v>26.8</v>
      </c>
      <c r="R11" s="7"/>
    </row>
    <row r="12" spans="1:18" ht="29" x14ac:dyDescent="0.35">
      <c r="A12" s="10">
        <f t="shared" si="0"/>
        <v>9</v>
      </c>
      <c r="B12" s="11" t="s">
        <v>26</v>
      </c>
      <c r="C12" s="18">
        <f>'[2]FY 29-30'!E921</f>
        <v>0.67</v>
      </c>
      <c r="D12" s="18">
        <f>'[2]FY 29-30'!F921</f>
        <v>0.67</v>
      </c>
      <c r="E12" s="18">
        <f>'[2]FY 29-30'!G921</f>
        <v>0.67</v>
      </c>
      <c r="F12" s="18">
        <f>'[2]FY 29-30'!H921</f>
        <v>0.67</v>
      </c>
      <c r="G12" s="18">
        <f>'[2]FY 29-30'!J921</f>
        <v>0.75</v>
      </c>
      <c r="H12" s="18">
        <f>'[2]FY 29-30'!K921</f>
        <v>0.67</v>
      </c>
      <c r="I12" s="18">
        <f>'[2]FY 29-30'!L921</f>
        <v>0.95</v>
      </c>
      <c r="J12" s="18">
        <f>'[2]FY 29-30'!M921</f>
        <v>0.95</v>
      </c>
      <c r="K12" s="18">
        <f>'[2]FY 29-30'!N921</f>
        <v>0.95</v>
      </c>
      <c r="L12" s="18">
        <f>'[2]FY 29-30'!O921</f>
        <v>0.95</v>
      </c>
      <c r="M12" s="18">
        <f>'[2]FY 29-30'!P921</f>
        <v>0.95</v>
      </c>
      <c r="N12" s="18">
        <f>'[2]FY 29-30'!Q921</f>
        <v>0.95</v>
      </c>
      <c r="O12" s="18">
        <f>'[2]FY 29-30'!R921</f>
        <v>0.95</v>
      </c>
      <c r="P12" s="18">
        <f>'[2]FY 29-30'!S921</f>
        <v>0.95</v>
      </c>
      <c r="Q12" s="18">
        <f>'[2]FY 29-30'!T921</f>
        <v>0.67</v>
      </c>
      <c r="R12" s="7"/>
    </row>
    <row r="13" spans="1:18" x14ac:dyDescent="0.35">
      <c r="A13" s="10">
        <f>A12+1</f>
        <v>10</v>
      </c>
      <c r="B13" s="11" t="s">
        <v>27</v>
      </c>
      <c r="C13" s="12">
        <f>C11*C12/C10</f>
        <v>24.597260273972609</v>
      </c>
      <c r="D13" s="12">
        <f t="shared" ref="D13:Q13" si="2">D11*D12/D10</f>
        <v>24.597260273972609</v>
      </c>
      <c r="E13" s="12">
        <f t="shared" si="2"/>
        <v>24.597260273972609</v>
      </c>
      <c r="F13" s="12">
        <f t="shared" si="2"/>
        <v>24.597260273972609</v>
      </c>
      <c r="G13" s="12">
        <f t="shared" si="2"/>
        <v>27.534246575342468</v>
      </c>
      <c r="H13" s="12">
        <f t="shared" si="2"/>
        <v>24.597260273972609</v>
      </c>
      <c r="I13" s="12">
        <f t="shared" si="2"/>
        <v>35.199999999999996</v>
      </c>
      <c r="J13" s="12">
        <f t="shared" si="2"/>
        <v>35.199999999999996</v>
      </c>
      <c r="K13" s="12">
        <f t="shared" si="2"/>
        <v>35.199999999999996</v>
      </c>
      <c r="L13" s="12">
        <f t="shared" si="2"/>
        <v>35.199999999999996</v>
      </c>
      <c r="M13" s="12">
        <f t="shared" si="2"/>
        <v>35.199999999999996</v>
      </c>
      <c r="N13" s="12">
        <f t="shared" si="2"/>
        <v>35.199999999999996</v>
      </c>
      <c r="O13" s="12">
        <f t="shared" si="2"/>
        <v>35.199999999999996</v>
      </c>
      <c r="P13" s="12">
        <f t="shared" si="2"/>
        <v>35.199999999999996</v>
      </c>
      <c r="Q13" s="12">
        <f t="shared" si="2"/>
        <v>24.597260273972609</v>
      </c>
      <c r="R13" s="7"/>
    </row>
    <row r="14" spans="1:18" ht="29" x14ac:dyDescent="0.35">
      <c r="A14" s="10">
        <f>A13+1</f>
        <v>11</v>
      </c>
      <c r="B14" s="11" t="s">
        <v>28</v>
      </c>
      <c r="C14" s="13">
        <f>(C13*C4*C7/C6)*(85/C8)</f>
        <v>14.943585490105104</v>
      </c>
      <c r="D14" s="13">
        <f t="shared" ref="D14:Q14" si="3">(D13*D4*D7/D6)*(85/D8)</f>
        <v>14.993229078897929</v>
      </c>
      <c r="E14" s="13">
        <f t="shared" si="3"/>
        <v>14.993229078897929</v>
      </c>
      <c r="F14" s="13">
        <f t="shared" si="3"/>
        <v>13.693436497986594</v>
      </c>
      <c r="G14" s="13">
        <f t="shared" si="3"/>
        <v>22.0619203420543</v>
      </c>
      <c r="H14" s="13">
        <f t="shared" si="3"/>
        <v>14.288784952592678</v>
      </c>
      <c r="I14" s="13">
        <f t="shared" si="3"/>
        <v>18.182043553503139</v>
      </c>
      <c r="J14" s="13">
        <f t="shared" si="3"/>
        <v>18.264372743578704</v>
      </c>
      <c r="K14" s="13">
        <f t="shared" si="3"/>
        <v>18.264372743578704</v>
      </c>
      <c r="L14" s="13">
        <f t="shared" si="3"/>
        <v>16.527188563609599</v>
      </c>
      <c r="M14" s="13">
        <f t="shared" si="3"/>
        <v>16.527188563609599</v>
      </c>
      <c r="N14" s="13">
        <f t="shared" si="3"/>
        <v>16.527188563609599</v>
      </c>
      <c r="O14" s="13">
        <f t="shared" si="3"/>
        <v>20.423946228150687</v>
      </c>
      <c r="P14" s="13">
        <f t="shared" si="3"/>
        <v>12.217031897146283</v>
      </c>
      <c r="Q14" s="13">
        <f t="shared" si="3"/>
        <v>14.220053015477749</v>
      </c>
      <c r="R14" s="7"/>
    </row>
    <row r="15" spans="1:18" x14ac:dyDescent="0.35">
      <c r="A15" s="7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35">
      <c r="A16" s="7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9" x14ac:dyDescent="0.35">
      <c r="A17" s="10" t="s">
        <v>39</v>
      </c>
      <c r="B17" s="11" t="s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0">
        <v>1</v>
      </c>
      <c r="B18" s="11" t="s">
        <v>30</v>
      </c>
      <c r="C18" s="16">
        <f>'[2]FY 29-30'!E927</f>
        <v>2943.3911563146808</v>
      </c>
      <c r="D18" s="16">
        <f>'[2]FY 29-30'!F927</f>
        <v>2760.9665115990397</v>
      </c>
      <c r="E18" s="16">
        <f>'[2]FY 29-30'!G927</f>
        <v>2760.9665115990397</v>
      </c>
      <c r="F18" s="16">
        <f>'[2]FY 29-30'!H927</f>
        <v>1379.6066295807666</v>
      </c>
      <c r="G18" s="16">
        <f>'[2]FY 29-30'!J927</f>
        <v>3723.0316797255523</v>
      </c>
      <c r="H18" s="16">
        <f>'[2]FY 29-30'!K927</f>
        <v>3722.9078864412627</v>
      </c>
      <c r="I18" s="16">
        <f>'[2]FY 29-30'!L927</f>
        <v>3722.8497024571238</v>
      </c>
      <c r="J18" s="16">
        <f>'[2]FY 29-30'!M927</f>
        <v>3722.9233591345424</v>
      </c>
      <c r="K18" s="16">
        <f>'[2]FY 29-30'!N927</f>
        <v>3722.9233591345424</v>
      </c>
      <c r="L18" s="16">
        <f>'[2]FY 29-30'!O927</f>
        <v>4914.3777583752089</v>
      </c>
      <c r="M18" s="16">
        <f>'[2]FY 29-30'!P927</f>
        <v>4914.3777583752089</v>
      </c>
      <c r="N18" s="16">
        <f>'[2]FY 29-30'!Q927</f>
        <v>4914.3777583752089</v>
      </c>
      <c r="O18" s="16">
        <f>'[2]FY 29-30'!R927</f>
        <v>10512.111272552431</v>
      </c>
      <c r="P18" s="16">
        <f>'[2]FY 29-30'!S927</f>
        <v>7446.2986319878037</v>
      </c>
      <c r="Q18" s="16">
        <f>'[2]FY 29-30'!T927</f>
        <v>1861.4942233804913</v>
      </c>
      <c r="R18" s="7"/>
    </row>
    <row r="19" spans="1:18" x14ac:dyDescent="0.35">
      <c r="A19" s="10">
        <f>A18+1</f>
        <v>2</v>
      </c>
      <c r="B19" s="11" t="s">
        <v>2</v>
      </c>
      <c r="C19" s="15" t="str">
        <f>'[2]FY 29-30'!E928</f>
        <v>SBC</v>
      </c>
      <c r="D19" s="15" t="str">
        <f>'[2]FY 29-30'!F928</f>
        <v>SBC</v>
      </c>
      <c r="E19" s="15" t="str">
        <f>'[2]FY 29-30'!G928</f>
        <v>SBC</v>
      </c>
      <c r="F19" s="15" t="str">
        <f>'[2]FY 29-30'!H928</f>
        <v>SBC</v>
      </c>
      <c r="G19" s="15" t="str">
        <f>'[2]FY 29-30'!J928</f>
        <v>Limestone</v>
      </c>
      <c r="H19" s="15" t="str">
        <f>'[2]FY 29-30'!K928</f>
        <v>SBC</v>
      </c>
      <c r="I19" s="15" t="str">
        <f>'[2]FY 29-30'!L928</f>
        <v>Limestone</v>
      </c>
      <c r="J19" s="15" t="str">
        <f>'[2]FY 29-30'!M928</f>
        <v>Limestone</v>
      </c>
      <c r="K19" s="15" t="str">
        <f>'[2]FY 29-30'!N928</f>
        <v>Limestone</v>
      </c>
      <c r="L19" s="15" t="str">
        <f>'[2]FY 29-30'!O928</f>
        <v>Limestone</v>
      </c>
      <c r="M19" s="15" t="str">
        <f>'[2]FY 29-30'!P928</f>
        <v>Limestone</v>
      </c>
      <c r="N19" s="15" t="str">
        <f>'[2]FY 29-30'!Q928</f>
        <v>Limestone</v>
      </c>
      <c r="O19" s="15" t="str">
        <f>'[2]FY 29-30'!R928</f>
        <v>Limestone</v>
      </c>
      <c r="P19" s="15" t="str">
        <f>'[2]FY 29-30'!S928</f>
        <v>Limestone</v>
      </c>
      <c r="Q19" s="15" t="str">
        <f>'[2]FY 29-30'!T928</f>
        <v>SBC</v>
      </c>
      <c r="R19" s="7"/>
    </row>
    <row r="20" spans="1:18" ht="29" x14ac:dyDescent="0.35">
      <c r="A20" s="10">
        <f t="shared" ref="A20:A23" si="4">A19+1</f>
        <v>3</v>
      </c>
      <c r="B20" s="11" t="s">
        <v>31</v>
      </c>
      <c r="C20" s="12">
        <f>IF(C19="SBC",12*100%/C8,C14)</f>
        <v>14.117647058823529</v>
      </c>
      <c r="D20" s="12">
        <f t="shared" ref="D20:Q20" si="5">IF(D19="SBC",12*100%/D8,D14)</f>
        <v>14.117647058823529</v>
      </c>
      <c r="E20" s="12">
        <f t="shared" si="5"/>
        <v>14.117647058823529</v>
      </c>
      <c r="F20" s="12">
        <f t="shared" si="5"/>
        <v>14.117647058823529</v>
      </c>
      <c r="G20" s="12">
        <f t="shared" si="5"/>
        <v>22.0619203420543</v>
      </c>
      <c r="H20" s="12">
        <f t="shared" si="5"/>
        <v>14.117647058823529</v>
      </c>
      <c r="I20" s="12">
        <f t="shared" si="5"/>
        <v>18.182043553503139</v>
      </c>
      <c r="J20" s="12">
        <f t="shared" si="5"/>
        <v>18.264372743578704</v>
      </c>
      <c r="K20" s="12">
        <f t="shared" si="5"/>
        <v>18.264372743578704</v>
      </c>
      <c r="L20" s="12">
        <f t="shared" si="5"/>
        <v>16.527188563609599</v>
      </c>
      <c r="M20" s="12">
        <f t="shared" si="5"/>
        <v>16.527188563609599</v>
      </c>
      <c r="N20" s="12">
        <f t="shared" si="5"/>
        <v>16.527188563609599</v>
      </c>
      <c r="O20" s="12">
        <f t="shared" si="5"/>
        <v>20.423946228150687</v>
      </c>
      <c r="P20" s="12">
        <f t="shared" si="5"/>
        <v>12.217031897146283</v>
      </c>
      <c r="Q20" s="12">
        <f t="shared" si="5"/>
        <v>14.117647058823529</v>
      </c>
      <c r="R20" s="7" t="s">
        <v>65</v>
      </c>
    </row>
    <row r="21" spans="1:18" x14ac:dyDescent="0.35">
      <c r="A21" s="10">
        <f t="shared" si="4"/>
        <v>4</v>
      </c>
      <c r="B21" s="11" t="s">
        <v>32</v>
      </c>
      <c r="C21" s="16">
        <f t="shared" ref="C21:Q21" si="6">C18*C20</f>
        <v>41553.75750091314</v>
      </c>
      <c r="D21" s="16">
        <f t="shared" si="6"/>
        <v>38978.350751986443</v>
      </c>
      <c r="E21" s="16">
        <f t="shared" si="6"/>
        <v>38978.350751986443</v>
      </c>
      <c r="F21" s="16">
        <f t="shared" si="6"/>
        <v>19476.799476434353</v>
      </c>
      <c r="G21" s="16">
        <f t="shared" si="6"/>
        <v>82137.22834904975</v>
      </c>
      <c r="H21" s="16">
        <f t="shared" si="6"/>
        <v>52558.69957328841</v>
      </c>
      <c r="I21" s="16">
        <f t="shared" si="6"/>
        <v>67689.015433221633</v>
      </c>
      <c r="J21" s="16">
        <f t="shared" si="6"/>
        <v>67996.859927009413</v>
      </c>
      <c r="K21" s="16">
        <f t="shared" si="6"/>
        <v>67996.859927009413</v>
      </c>
      <c r="L21" s="16">
        <f t="shared" si="6"/>
        <v>81220.847885476134</v>
      </c>
      <c r="M21" s="16">
        <f t="shared" si="6"/>
        <v>81220.847885476134</v>
      </c>
      <c r="N21" s="16">
        <f t="shared" si="6"/>
        <v>81220.847885476134</v>
      </c>
      <c r="O21" s="16">
        <f t="shared" si="6"/>
        <v>214698.79537494754</v>
      </c>
      <c r="P21" s="16">
        <f t="shared" si="6"/>
        <v>90971.667902671732</v>
      </c>
      <c r="Q21" s="16">
        <f t="shared" si="6"/>
        <v>26279.918447724584</v>
      </c>
      <c r="R21" s="7"/>
    </row>
    <row r="22" spans="1:18" x14ac:dyDescent="0.35">
      <c r="A22" s="10">
        <f t="shared" si="4"/>
        <v>5</v>
      </c>
      <c r="B22" s="11" t="s">
        <v>3</v>
      </c>
      <c r="C22" s="15" t="str">
        <f>IF(C19="SBC","44895.46","3228.75")</f>
        <v>44895.46</v>
      </c>
      <c r="D22" s="15" t="str">
        <f t="shared" ref="D22:Q22" si="7">IF(D19="SBC","44895.46","3228.75")</f>
        <v>44895.46</v>
      </c>
      <c r="E22" s="15" t="str">
        <f t="shared" si="7"/>
        <v>44895.46</v>
      </c>
      <c r="F22" s="15" t="str">
        <f t="shared" si="7"/>
        <v>44895.46</v>
      </c>
      <c r="G22" s="15" t="str">
        <f t="shared" si="7"/>
        <v>3228.75</v>
      </c>
      <c r="H22" s="15" t="str">
        <f t="shared" si="7"/>
        <v>44895.46</v>
      </c>
      <c r="I22" s="15" t="str">
        <f t="shared" si="7"/>
        <v>3228.75</v>
      </c>
      <c r="J22" s="15" t="str">
        <f t="shared" si="7"/>
        <v>3228.75</v>
      </c>
      <c r="K22" s="15" t="str">
        <f t="shared" si="7"/>
        <v>3228.75</v>
      </c>
      <c r="L22" s="15" t="str">
        <f t="shared" si="7"/>
        <v>3228.75</v>
      </c>
      <c r="M22" s="15" t="str">
        <f t="shared" si="7"/>
        <v>3228.75</v>
      </c>
      <c r="N22" s="15" t="str">
        <f t="shared" si="7"/>
        <v>3228.75</v>
      </c>
      <c r="O22" s="15" t="str">
        <f t="shared" si="7"/>
        <v>3228.75</v>
      </c>
      <c r="P22" s="15" t="str">
        <f t="shared" si="7"/>
        <v>3228.75</v>
      </c>
      <c r="Q22" s="15" t="str">
        <f t="shared" si="7"/>
        <v>44895.46</v>
      </c>
      <c r="R22" s="7"/>
    </row>
    <row r="23" spans="1:18" ht="29" x14ac:dyDescent="0.35">
      <c r="A23" s="10">
        <f t="shared" si="4"/>
        <v>6</v>
      </c>
      <c r="B23" s="11" t="s">
        <v>33</v>
      </c>
      <c r="C23" s="16">
        <f>C22*C21/10^7</f>
        <v>186.55750577319458</v>
      </c>
      <c r="D23" s="16">
        <f t="shared" ref="D23:Q23" si="8">D22*D21/10^7</f>
        <v>174.99509870517772</v>
      </c>
      <c r="E23" s="16">
        <f t="shared" si="8"/>
        <v>174.99509870517772</v>
      </c>
      <c r="F23" s="16">
        <f t="shared" si="8"/>
        <v>87.441987182227948</v>
      </c>
      <c r="G23" s="16">
        <f t="shared" si="8"/>
        <v>26.520057603199437</v>
      </c>
      <c r="H23" s="16">
        <f t="shared" si="8"/>
        <v>235.96469943445868</v>
      </c>
      <c r="I23" s="16">
        <f t="shared" si="8"/>
        <v>21.855090858001436</v>
      </c>
      <c r="J23" s="16">
        <f t="shared" si="8"/>
        <v>21.954486148933164</v>
      </c>
      <c r="K23" s="16">
        <f t="shared" si="8"/>
        <v>21.954486148933164</v>
      </c>
      <c r="L23" s="16">
        <f t="shared" si="8"/>
        <v>26.224181261023109</v>
      </c>
      <c r="M23" s="16">
        <f t="shared" si="8"/>
        <v>26.224181261023109</v>
      </c>
      <c r="N23" s="16">
        <f t="shared" si="8"/>
        <v>26.224181261023109</v>
      </c>
      <c r="O23" s="16">
        <f t="shared" si="8"/>
        <v>69.32087355668618</v>
      </c>
      <c r="P23" s="16">
        <f t="shared" si="8"/>
        <v>29.372477274075134</v>
      </c>
      <c r="Q23" s="16">
        <f t="shared" si="8"/>
        <v>117.98490274730811</v>
      </c>
      <c r="R23" s="7"/>
    </row>
    <row r="24" spans="1:18" x14ac:dyDescent="0.35">
      <c r="A24" s="7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29" x14ac:dyDescent="0.35">
      <c r="A26" s="10" t="s">
        <v>39</v>
      </c>
      <c r="B26" s="11" t="s">
        <v>34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0">
        <v>1</v>
      </c>
      <c r="B27" s="11" t="s">
        <v>30</v>
      </c>
      <c r="C27" s="17">
        <f>C18</f>
        <v>2943.3911563146808</v>
      </c>
      <c r="D27" s="17">
        <f t="shared" ref="D27:Q27" si="9">D18</f>
        <v>2760.9665115990397</v>
      </c>
      <c r="E27" s="17">
        <f t="shared" si="9"/>
        <v>2760.9665115990397</v>
      </c>
      <c r="F27" s="17">
        <f t="shared" si="9"/>
        <v>1379.6066295807666</v>
      </c>
      <c r="G27" s="17">
        <f t="shared" si="9"/>
        <v>3723.0316797255523</v>
      </c>
      <c r="H27" s="17">
        <f t="shared" si="9"/>
        <v>3722.9078864412627</v>
      </c>
      <c r="I27" s="17">
        <f t="shared" si="9"/>
        <v>3722.8497024571238</v>
      </c>
      <c r="J27" s="17">
        <f t="shared" si="9"/>
        <v>3722.9233591345424</v>
      </c>
      <c r="K27" s="17">
        <f t="shared" si="9"/>
        <v>3722.9233591345424</v>
      </c>
      <c r="L27" s="17">
        <f t="shared" si="9"/>
        <v>4914.3777583752089</v>
      </c>
      <c r="M27" s="17">
        <f t="shared" si="9"/>
        <v>4914.3777583752089</v>
      </c>
      <c r="N27" s="17">
        <f t="shared" si="9"/>
        <v>4914.3777583752089</v>
      </c>
      <c r="O27" s="17">
        <f t="shared" si="9"/>
        <v>10512.111272552431</v>
      </c>
      <c r="P27" s="17">
        <f t="shared" si="9"/>
        <v>7446.2986319878037</v>
      </c>
      <c r="Q27" s="17">
        <f t="shared" si="9"/>
        <v>1861.4942233804913</v>
      </c>
      <c r="R27" s="7"/>
    </row>
    <row r="28" spans="1:18" x14ac:dyDescent="0.35">
      <c r="A28" s="10">
        <f>A27+1</f>
        <v>2</v>
      </c>
      <c r="B28" s="11" t="s">
        <v>2</v>
      </c>
      <c r="C28" s="7" t="str">
        <f>'[2]FY 29-30'!E937</f>
        <v>Ammonia</v>
      </c>
      <c r="D28" s="7" t="str">
        <f>'[2]FY 29-30'!F937</f>
        <v>Ammonia</v>
      </c>
      <c r="E28" s="7" t="str">
        <f>'[2]FY 29-30'!G937</f>
        <v>Ammonia</v>
      </c>
      <c r="F28" s="7" t="str">
        <f>'[2]FY 29-30'!H937</f>
        <v>Ammonia</v>
      </c>
      <c r="G28" s="7" t="str">
        <f>'[2]FY 29-30'!J937</f>
        <v>Ammonia</v>
      </c>
      <c r="H28" s="7" t="str">
        <f>'[2]FY 29-30'!K937</f>
        <v>Ammonia</v>
      </c>
      <c r="I28" s="7" t="str">
        <f>'[2]FY 29-30'!L937</f>
        <v>Ammonia</v>
      </c>
      <c r="J28" s="7" t="str">
        <f>'[2]FY 29-30'!M937</f>
        <v>Ammonia</v>
      </c>
      <c r="K28" s="7" t="str">
        <f>'[2]FY 29-30'!N937</f>
        <v>Ammonia</v>
      </c>
      <c r="L28" s="7" t="str">
        <f>'[2]FY 29-30'!O937</f>
        <v>Ammonia</v>
      </c>
      <c r="M28" s="7" t="str">
        <f>'[2]FY 29-30'!P937</f>
        <v>Ammonia</v>
      </c>
      <c r="N28" s="7" t="str">
        <f>'[2]FY 29-30'!Q937</f>
        <v>Ammonia</v>
      </c>
      <c r="O28" s="7" t="str">
        <f>'[2]FY 29-30'!R937</f>
        <v>Ammonia</v>
      </c>
      <c r="P28" s="7" t="str">
        <f>'[2]FY 29-30'!S937</f>
        <v>Ammonia</v>
      </c>
      <c r="Q28" s="7" t="str">
        <f>'[2]FY 29-30'!T937</f>
        <v>Ammonia</v>
      </c>
      <c r="R28" s="7"/>
    </row>
    <row r="29" spans="1:18" ht="29" x14ac:dyDescent="0.35">
      <c r="A29" s="10">
        <f t="shared" ref="A29:A32" si="10">A28+1</f>
        <v>3</v>
      </c>
      <c r="B29" s="11" t="s">
        <v>35</v>
      </c>
      <c r="C29" s="7">
        <f>'[2]FY 29-30'!E938</f>
        <v>0.6</v>
      </c>
      <c r="D29" s="7">
        <f>'[2]FY 29-30'!F938</f>
        <v>0.6</v>
      </c>
      <c r="E29" s="7">
        <f>'[2]FY 29-30'!G938</f>
        <v>0.6</v>
      </c>
      <c r="F29" s="7">
        <f>'[2]FY 29-30'!H938</f>
        <v>0.6</v>
      </c>
      <c r="G29" s="7">
        <f>'[2]FY 29-30'!J938</f>
        <v>0.6</v>
      </c>
      <c r="H29" s="7">
        <f>'[2]FY 29-30'!K938</f>
        <v>0.6</v>
      </c>
      <c r="I29" s="7">
        <f>'[2]FY 29-30'!L938</f>
        <v>0.6</v>
      </c>
      <c r="J29" s="7">
        <f>'[2]FY 29-30'!M938</f>
        <v>0.6</v>
      </c>
      <c r="K29" s="7">
        <f>'[2]FY 29-30'!N938</f>
        <v>0.6</v>
      </c>
      <c r="L29" s="7">
        <f>'[2]FY 29-30'!O938</f>
        <v>0.6</v>
      </c>
      <c r="M29" s="7">
        <f>'[2]FY 29-30'!P938</f>
        <v>0.6</v>
      </c>
      <c r="N29" s="7">
        <f>'[2]FY 29-30'!Q938</f>
        <v>0.6</v>
      </c>
      <c r="O29" s="7">
        <f>'[2]FY 29-30'!R938</f>
        <v>0.6</v>
      </c>
      <c r="P29" s="7">
        <f>'[2]FY 29-30'!S938</f>
        <v>0.6</v>
      </c>
      <c r="Q29" s="7">
        <f>'[2]FY 29-30'!T938</f>
        <v>0.6</v>
      </c>
      <c r="R29" s="7"/>
    </row>
    <row r="30" spans="1:18" x14ac:dyDescent="0.35">
      <c r="A30" s="10">
        <f t="shared" si="10"/>
        <v>4</v>
      </c>
      <c r="B30" s="11" t="s">
        <v>36</v>
      </c>
      <c r="C30" s="16">
        <f t="shared" ref="C30:Q30" si="11">C27*C29</f>
        <v>1766.0346937888085</v>
      </c>
      <c r="D30" s="16">
        <f t="shared" si="11"/>
        <v>1656.5799069594239</v>
      </c>
      <c r="E30" s="16">
        <f t="shared" si="11"/>
        <v>1656.5799069594239</v>
      </c>
      <c r="F30" s="16">
        <f t="shared" si="11"/>
        <v>827.76397774845998</v>
      </c>
      <c r="G30" s="16">
        <f t="shared" si="11"/>
        <v>2233.8190078353314</v>
      </c>
      <c r="H30" s="16">
        <f t="shared" si="11"/>
        <v>2233.7447318647573</v>
      </c>
      <c r="I30" s="16">
        <f t="shared" si="11"/>
        <v>2233.7098214742741</v>
      </c>
      <c r="J30" s="16">
        <f t="shared" si="11"/>
        <v>2233.7540154807252</v>
      </c>
      <c r="K30" s="16">
        <f t="shared" si="11"/>
        <v>2233.7540154807252</v>
      </c>
      <c r="L30" s="16">
        <f t="shared" si="11"/>
        <v>2948.6266550251253</v>
      </c>
      <c r="M30" s="16">
        <f t="shared" si="11"/>
        <v>2948.6266550251253</v>
      </c>
      <c r="N30" s="16">
        <f t="shared" si="11"/>
        <v>2948.6266550251253</v>
      </c>
      <c r="O30" s="16">
        <f t="shared" si="11"/>
        <v>6307.2667635314583</v>
      </c>
      <c r="P30" s="16">
        <f t="shared" si="11"/>
        <v>4467.779179192682</v>
      </c>
      <c r="Q30" s="16">
        <f t="shared" si="11"/>
        <v>1116.8965340282948</v>
      </c>
      <c r="R30" s="7"/>
    </row>
    <row r="31" spans="1:18" x14ac:dyDescent="0.35">
      <c r="A31" s="10">
        <f t="shared" si="10"/>
        <v>5</v>
      </c>
      <c r="B31" s="11" t="s">
        <v>37</v>
      </c>
      <c r="C31" s="7">
        <f>'[2]FY 29-30'!E940</f>
        <v>116.82</v>
      </c>
      <c r="D31" s="7">
        <f>'[2]FY 29-30'!F940</f>
        <v>116.82</v>
      </c>
      <c r="E31" s="7">
        <f>'[2]FY 29-30'!G940</f>
        <v>116.82</v>
      </c>
      <c r="F31" s="7">
        <f>'[2]FY 29-30'!H940</f>
        <v>116.82</v>
      </c>
      <c r="G31" s="7">
        <f>'[2]FY 29-30'!J940</f>
        <v>116.82</v>
      </c>
      <c r="H31" s="7">
        <f>'[2]FY 29-30'!K940</f>
        <v>116.82</v>
      </c>
      <c r="I31" s="7">
        <f>'[2]FY 29-30'!L940</f>
        <v>116.82</v>
      </c>
      <c r="J31" s="7">
        <f>'[2]FY 29-30'!M940</f>
        <v>116.82</v>
      </c>
      <c r="K31" s="7">
        <f>'[2]FY 29-30'!N940</f>
        <v>116.82</v>
      </c>
      <c r="L31" s="7">
        <f>'[2]FY 29-30'!O940</f>
        <v>116.82</v>
      </c>
      <c r="M31" s="7">
        <f>'[2]FY 29-30'!P940</f>
        <v>116.82</v>
      </c>
      <c r="N31" s="7">
        <f>'[2]FY 29-30'!Q940</f>
        <v>116.82</v>
      </c>
      <c r="O31" s="7">
        <f>'[2]FY 29-30'!R940</f>
        <v>116.82</v>
      </c>
      <c r="P31" s="7">
        <f>'[2]FY 29-30'!S940</f>
        <v>116.82</v>
      </c>
      <c r="Q31" s="7">
        <f>'[2]FY 29-30'!T940</f>
        <v>116.82</v>
      </c>
      <c r="R31" s="7"/>
    </row>
    <row r="32" spans="1:18" ht="29" x14ac:dyDescent="0.35">
      <c r="A32" s="10">
        <f t="shared" si="10"/>
        <v>6</v>
      </c>
      <c r="B32" s="11" t="s">
        <v>38</v>
      </c>
      <c r="C32" s="16">
        <f>C31*C30/10^7</f>
        <v>2.0630817292840862E-2</v>
      </c>
      <c r="D32" s="16">
        <f t="shared" ref="D32:Q32" si="12">D31*D30/10^7</f>
        <v>1.9352166473099987E-2</v>
      </c>
      <c r="E32" s="16">
        <f t="shared" si="12"/>
        <v>1.9352166473099987E-2</v>
      </c>
      <c r="F32" s="16">
        <f t="shared" si="12"/>
        <v>9.6699387880575093E-3</v>
      </c>
      <c r="G32" s="16">
        <f t="shared" si="12"/>
        <v>2.6095473649532339E-2</v>
      </c>
      <c r="H32" s="16">
        <f t="shared" si="12"/>
        <v>2.6094605957644096E-2</v>
      </c>
      <c r="I32" s="16">
        <f t="shared" si="12"/>
        <v>2.6094198134462468E-2</v>
      </c>
      <c r="J32" s="16">
        <f t="shared" si="12"/>
        <v>2.609471440884583E-2</v>
      </c>
      <c r="K32" s="16">
        <f t="shared" si="12"/>
        <v>2.609471440884583E-2</v>
      </c>
      <c r="L32" s="16">
        <f t="shared" si="12"/>
        <v>3.4445856584003509E-2</v>
      </c>
      <c r="M32" s="16">
        <f t="shared" si="12"/>
        <v>3.4445856584003509E-2</v>
      </c>
      <c r="N32" s="16">
        <f t="shared" si="12"/>
        <v>3.4445856584003509E-2</v>
      </c>
      <c r="O32" s="16">
        <f t="shared" si="12"/>
        <v>7.3681490331574492E-2</v>
      </c>
      <c r="P32" s="16">
        <f t="shared" si="12"/>
        <v>5.2192596371328906E-2</v>
      </c>
      <c r="Q32" s="16">
        <f t="shared" si="12"/>
        <v>1.304758531051854E-2</v>
      </c>
      <c r="R32" s="7"/>
    </row>
    <row r="33" spans="1:18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29" x14ac:dyDescent="0.35">
      <c r="A34" s="19"/>
      <c r="B34" s="20" t="s">
        <v>40</v>
      </c>
      <c r="C34" s="21">
        <f>C23+C32</f>
        <v>186.57813659048742</v>
      </c>
      <c r="D34" s="21">
        <f t="shared" ref="D34:Q34" si="13">D23+D32</f>
        <v>175.01445087165084</v>
      </c>
      <c r="E34" s="21">
        <f t="shared" si="13"/>
        <v>175.01445087165084</v>
      </c>
      <c r="F34" s="21">
        <f t="shared" si="13"/>
        <v>87.451657121015998</v>
      </c>
      <c r="G34" s="21">
        <f t="shared" si="13"/>
        <v>26.54615307684897</v>
      </c>
      <c r="H34" s="21">
        <f t="shared" si="13"/>
        <v>235.99079404041632</v>
      </c>
      <c r="I34" s="21">
        <f t="shared" si="13"/>
        <v>21.881185056135898</v>
      </c>
      <c r="J34" s="21">
        <f t="shared" si="13"/>
        <v>21.980580863342009</v>
      </c>
      <c r="K34" s="21">
        <f t="shared" si="13"/>
        <v>21.980580863342009</v>
      </c>
      <c r="L34" s="21">
        <f t="shared" si="13"/>
        <v>26.258627117607112</v>
      </c>
      <c r="M34" s="21">
        <f t="shared" si="13"/>
        <v>26.258627117607112</v>
      </c>
      <c r="N34" s="21">
        <f t="shared" si="13"/>
        <v>26.258627117607112</v>
      </c>
      <c r="O34" s="21">
        <f t="shared" si="13"/>
        <v>69.394555047017761</v>
      </c>
      <c r="P34" s="21">
        <f t="shared" si="13"/>
        <v>29.424669870446461</v>
      </c>
      <c r="Q34" s="21">
        <f t="shared" si="13"/>
        <v>117.99795033261863</v>
      </c>
      <c r="R3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of Reagent cost</vt:lpstr>
      <vt:lpstr>Breakup of Fuel cost</vt:lpstr>
      <vt:lpstr>24-25</vt:lpstr>
      <vt:lpstr>25-26</vt:lpstr>
      <vt:lpstr>26-27</vt:lpstr>
      <vt:lpstr>27-28</vt:lpstr>
      <vt:lpstr>28-29</vt:lpstr>
      <vt:lpstr>29-30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2024-11-16T06:53:45Z</dcterms:modified>
</cp:coreProperties>
</file>